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720" windowHeight="12105" tabRatio="602" activeTab="0"/>
  </bookViews>
  <sheets>
    <sheet name="на 01.10.18 " sheetId="1" r:id="rId1"/>
  </sheets>
  <definedNames>
    <definedName name="Z_500E58A8_FBEB_4085_BB09_B2D65F451C5A_.wvu.PrintTitles" localSheetId="0" hidden="1">'на 01.10.18 '!$4:$5</definedName>
    <definedName name="Z_500E58A8_FBEB_4085_BB09_B2D65F451C5A_.wvu.Rows" localSheetId="0" hidden="1">'на 01.10.18 '!$16:$16</definedName>
    <definedName name="Z_65FA7F10_471B_4876_A357_0DD4066091DE_.wvu.PrintTitles" localSheetId="0" hidden="1">'на 01.10.18 '!$4:$5</definedName>
    <definedName name="Z_65FA7F10_471B_4876_A357_0DD4066091DE_.wvu.Rows" localSheetId="0" hidden="1">'на 01.10.18 '!$16:$16</definedName>
    <definedName name="Z_77B8EEA6_A9F6_46BF_82FF_4EDB3A3BB37C_.wvu.PrintTitles" localSheetId="0" hidden="1">'на 01.10.18 '!$4:$5</definedName>
    <definedName name="Z_77B8EEA6_A9F6_46BF_82FF_4EDB3A3BB37C_.wvu.Rows" localSheetId="0" hidden="1">'на 01.10.18 '!$16:$16</definedName>
    <definedName name="Z_96FF283B_A957_4856_A721_A36139A7C820_.wvu.PrintTitles" localSheetId="0" hidden="1">'на 01.10.18 '!$4:$5</definedName>
    <definedName name="Z_96FF283B_A957_4856_A721_A36139A7C820_.wvu.Rows" localSheetId="0" hidden="1">'на 01.10.18 '!$16:$16</definedName>
    <definedName name="Z_9F89E191_6E74_4ED1_8A84_DBD75FFEE562_.wvu.PrintTitles" localSheetId="0" hidden="1">'на 01.10.18 '!$4:$5</definedName>
    <definedName name="Z_9F89E191_6E74_4ED1_8A84_DBD75FFEE562_.wvu.Rows" localSheetId="0" hidden="1">'на 01.10.18 '!$16:$16</definedName>
    <definedName name="Z_EE0DCA7E_2D3F_443A_B9F7_09A626099614_.wvu.PrintTitles" localSheetId="0" hidden="1">'на 01.10.18 '!$4:$5</definedName>
    <definedName name="Z_EE0DCA7E_2D3F_443A_B9F7_09A626099614_.wvu.Rows" localSheetId="0" hidden="1">'на 01.10.18 '!$16:$16</definedName>
    <definedName name="Z_EFC1F0C8_350E_47B4_9F65_99F192C49E53_.wvu.PrintTitles" localSheetId="0" hidden="1">'на 01.10.18 '!$4:$5</definedName>
    <definedName name="Z_EFC1F0C8_350E_47B4_9F65_99F192C49E53_.wvu.Rows" localSheetId="0" hidden="1">'на 01.10.18 '!$16:$16</definedName>
    <definedName name="Z_FC456E20_D1C0_40A3_9512_7ADAF53436F7_.wvu.PrintTitles" localSheetId="0" hidden="1">'на 01.10.18 '!$4:$5</definedName>
    <definedName name="Z_FC456E20_D1C0_40A3_9512_7ADAF53436F7_.wvu.Rows" localSheetId="0" hidden="1">'на 01.10.18 '!$16:$16</definedName>
    <definedName name="_xlnm.Print_Titles" localSheetId="0">'на 01.10.18 '!$5:$6</definedName>
    <definedName name="_xlnm.Print_Area" localSheetId="0">'на 01.10.18 '!$A$1:$H$119</definedName>
  </definedNames>
  <calcPr fullCalcOnLoad="1"/>
</workbook>
</file>

<file path=xl/sharedStrings.xml><?xml version="1.0" encoding="utf-8"?>
<sst xmlns="http://schemas.openxmlformats.org/spreadsheetml/2006/main" count="231" uniqueCount="231">
  <si>
    <t>Общегосударственные вопросы</t>
  </si>
  <si>
    <t xml:space="preserve">0104      </t>
  </si>
  <si>
    <t>0107</t>
  </si>
  <si>
    <t>Обеспечение проведения выборов и референдумов</t>
  </si>
  <si>
    <t>0112</t>
  </si>
  <si>
    <t>0113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</si>
  <si>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</si>
  <si>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</si>
  <si>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0300</t>
  </si>
  <si>
    <t>0309</t>
  </si>
  <si>
    <t>0310</t>
  </si>
  <si>
    <t>0400</t>
  </si>
  <si>
    <t>0401</t>
  </si>
  <si>
    <t>Общеэкономические вопросы</t>
  </si>
  <si>
    <t>0404</t>
  </si>
  <si>
    <t>0405</t>
  </si>
  <si>
    <t>Сельское хозяйство и рыболовство</t>
  </si>
  <si>
    <t>0406</t>
  </si>
  <si>
    <t>0407</t>
  </si>
  <si>
    <t>Лесное хозяйство</t>
  </si>
  <si>
    <t>0408</t>
  </si>
  <si>
    <t>Транспорт</t>
  </si>
  <si>
    <t>0502</t>
  </si>
  <si>
    <t>0702</t>
  </si>
  <si>
    <t>0704</t>
  </si>
  <si>
    <t>Другие вопросы в области образования</t>
  </si>
  <si>
    <t>0804</t>
  </si>
  <si>
    <t>Пенсионное обеспечение</t>
  </si>
  <si>
    <t>Социальное обслуживание населения</t>
  </si>
  <si>
    <t>1003</t>
  </si>
  <si>
    <t>000 2 00 00000 00 0000 000</t>
  </si>
  <si>
    <t>000 2 02 01000 00 0000 151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</si>
  <si>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</si>
  <si>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</si>
  <si>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</si>
  <si>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</si>
  <si>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</si>
  <si>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</si>
  <si>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</si>
  <si>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</si>
  <si>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</si>
  <si>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0100</t>
  </si>
  <si>
    <t>0102</t>
  </si>
  <si>
    <t>0103</t>
  </si>
  <si>
    <t>0105</t>
  </si>
  <si>
    <t>0106</t>
  </si>
  <si>
    <t>0500</t>
  </si>
  <si>
    <t>0600</t>
  </si>
  <si>
    <t>0501</t>
  </si>
  <si>
    <t>0700</t>
  </si>
  <si>
    <t>0705</t>
  </si>
  <si>
    <t>0707</t>
  </si>
  <si>
    <t>0800</t>
  </si>
  <si>
    <t>0801</t>
  </si>
  <si>
    <t>0900</t>
  </si>
  <si>
    <t>0902</t>
  </si>
  <si>
    <t>1000</t>
  </si>
  <si>
    <t>1001</t>
  </si>
  <si>
    <t>1002</t>
  </si>
  <si>
    <t>1004</t>
  </si>
  <si>
    <t>1100</t>
  </si>
  <si>
    <t>1101</t>
  </si>
  <si>
    <t>1102</t>
  </si>
  <si>
    <t>Жилищное хозяйство</t>
  </si>
  <si>
    <t>Коммунальное хозяйство</t>
  </si>
  <si>
    <t>Общее образование</t>
  </si>
  <si>
    <t>Телевидение и радиовещание</t>
  </si>
  <si>
    <t>Периодическая печать и издательства</t>
  </si>
  <si>
    <t>Резервные фонды</t>
  </si>
  <si>
    <t>0709</t>
  </si>
  <si>
    <t>Налог на прибыль организаций</t>
  </si>
  <si>
    <t>Транспортный налог</t>
  </si>
  <si>
    <t>0901</t>
  </si>
  <si>
    <t>Раздел 1. ДОХОДЫ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</si>
  <si>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</si>
  <si>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</si>
  <si>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</si>
  <si>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</si>
  <si>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</si>
  <si>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</si>
  <si>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</si>
  <si>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000 1 05 03000 01 0000 110</t>
  </si>
  <si>
    <t>Единый сельскохозяйственный налог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</si>
  <si>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</si>
  <si>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</si>
  <si>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</si>
  <si>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</si>
  <si>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</si>
  <si>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</si>
  <si>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Другие вопросы в области национальной безопасности и правоохранительной деятельности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</si>
  <si>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</si>
  <si>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</si>
  <si>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</si>
  <si>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0412</t>
  </si>
  <si>
    <t>Налоги на имущество</t>
  </si>
  <si>
    <t>Иные межбюджетные трансферты</t>
  </si>
  <si>
    <t>НАЛОГОВЫЕ  И  НЕНАЛОГОВЫЕ   ДОХОДЫ</t>
  </si>
  <si>
    <t>0111</t>
  </si>
  <si>
    <t>0314</t>
  </si>
  <si>
    <t>0409</t>
  </si>
  <si>
    <t>0505</t>
  </si>
  <si>
    <t>0603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</si>
  <si>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</si>
  <si>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</si>
  <si>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Стационарная медицинская помощь</t>
  </si>
  <si>
    <t>Амбулаторная помощь</t>
  </si>
  <si>
    <t>0906</t>
  </si>
  <si>
    <t>Заготовка, переработка, хранение и обеспечение безопасности донорской крови и ее компонентов</t>
  </si>
  <si>
    <t>Охрана семьи и детства</t>
  </si>
  <si>
    <t>1105</t>
  </si>
  <si>
    <t>Код бюджетной         классификации</t>
  </si>
  <si>
    <t>Раздел 2. РАСХОДЫ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</si>
  <si>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</si>
  <si>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</si>
  <si>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БЕЗВОЗМЕЗДНЫЕ  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</si>
  <si>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</si>
  <si>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</si>
  <si>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</si>
  <si>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</si>
  <si>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</si>
  <si>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</si>
  <si>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</si>
  <si>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</si>
  <si>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</si>
  <si>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</si>
  <si>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</si>
  <si>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</si>
  <si>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</si>
  <si>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ИТОГО   ДОХОДОВ</t>
  </si>
  <si>
    <t>Налог, взимаемый в связи с применением упрощенной системы налогообложения</t>
  </si>
  <si>
    <t>Обеспечение пожарной безопасности</t>
  </si>
  <si>
    <t>0605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</si>
  <si>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</si>
  <si>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</si>
  <si>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</si>
  <si>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</si>
  <si>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</si>
  <si>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</si>
  <si>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</si>
  <si>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</si>
  <si>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</si>
  <si>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</si>
  <si>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</si>
  <si>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</si>
  <si>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</si>
  <si>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Среднее профессиональное 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</si>
  <si>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</si>
  <si>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</si>
  <si>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</si>
  <si>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</si>
  <si>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</si>
  <si>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</si>
  <si>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</si>
  <si>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</si>
  <si>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</si>
  <si>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</si>
  <si>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</si>
  <si>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0701</t>
  </si>
  <si>
    <t>0909</t>
  </si>
  <si>
    <t>1006</t>
  </si>
  <si>
    <t>1200</t>
  </si>
  <si>
    <t>1201</t>
  </si>
  <si>
    <t>1202</t>
  </si>
  <si>
    <t>1300</t>
  </si>
  <si>
    <t>1301</t>
  </si>
  <si>
    <t>1400</t>
  </si>
  <si>
    <t>1401</t>
  </si>
  <si>
    <t>1402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</si>
  <si>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</si>
  <si>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</si>
  <si>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</si>
  <si>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0410</t>
  </si>
  <si>
    <t>Связь и информатика</t>
  </si>
  <si>
    <t>1403</t>
  </si>
  <si>
    <t>Прочие межбюджетные трансферты общего характера</t>
  </si>
  <si>
    <t>0200</t>
  </si>
  <si>
    <t>0203</t>
  </si>
  <si>
    <t>Налог на игорный бизнес</t>
  </si>
  <si>
    <t>000 1 06 05000 02 0000 110</t>
  </si>
  <si>
    <t>0304</t>
  </si>
  <si>
    <t>Органы юстиции</t>
  </si>
  <si>
    <t>Субсидии бюджетам бюджетной системы Российской Федерации (межбюджетные субсидии)</t>
  </si>
  <si>
    <t>Социальное обеспечение населения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</si>
  <si>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</si>
  <si>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</si>
  <si>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</si>
  <si>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Воспроизводство минерально-сырьевой базы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</si>
  <si>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</si>
  <si>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</si>
  <si>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</si>
  <si>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</si>
  <si>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</si>
  <si>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</si>
  <si>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</si>
  <si>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</si>
  <si>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</si>
  <si>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</si>
  <si>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</t>
  </si>
  <si>
    <t>Дефицит (-)</t>
  </si>
  <si>
    <t>000 1 05 01000 00 0000 110</t>
  </si>
  <si>
    <t>000 2 03 00000 00 0000 000</t>
  </si>
  <si>
    <t>000 2 19 00000 00 0000 000</t>
  </si>
  <si>
    <t>000 2 18 00000 00 0000 000</t>
  </si>
  <si>
    <t>Благоустройство</t>
  </si>
  <si>
    <t>Дополнительное образование</t>
  </si>
  <si>
    <t>0503</t>
  </si>
  <si>
    <t>0703</t>
  </si>
  <si>
    <t>000 2 02 20000 00 0000 151</t>
  </si>
  <si>
    <t>000 2 02 30000 00 0000 151</t>
  </si>
  <si>
    <t>000 2 02 40000 00 0000 151</t>
  </si>
  <si>
    <t>0604</t>
  </si>
  <si>
    <t xml:space="preserve">  Прикладные научные исследования в области охраны окружающей среды</t>
  </si>
  <si>
    <t>Оценка ожидаемого исполнения республиканского бюджета Республики Марий Эл в 2018 году</t>
  </si>
  <si>
    <t>Скорая медицинская помощь</t>
  </si>
  <si>
    <t>0904</t>
  </si>
  <si>
    <t xml:space="preserve"> 000 2 02 15009 00 0000 151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</si>
  <si>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</si>
  <si>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000 2 02 15002 02 0000 151</t>
  </si>
  <si>
    <t>Дотации бюджетам на поддержку мер по обеспечению сбалансированности бюджетов</t>
  </si>
  <si>
    <t>0311</t>
  </si>
  <si>
    <t>Миграционная политика</t>
  </si>
  <si>
    <t>Ожидаемое исполнение                                       за 2018 год</t>
  </si>
  <si>
    <t>Утвержденный бюджет                                    на 2018 год</t>
  </si>
  <si>
    <t>% ожид. исп.               к бюджету              с учетом поправок                   гр.6 / гр.4</t>
  </si>
  <si>
    <t xml:space="preserve">План                          на 2018  год                с учетом поправок                   </t>
  </si>
  <si>
    <t>Уточненный бюджет                         на 2018  год                   (по сост. 01.10.18)</t>
  </si>
  <si>
    <t>892 202 15311 02 0000 000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</si>
  <si>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</si>
  <si>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892 202 15213 02 0000 151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</si>
  <si>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</si>
  <si>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Исполнение                                       на 01.10.2018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</si>
</sst>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"/>
    <numFmt numFmtId="180" formatCode="#,##0.0000"/>
    <numFmt numFmtId="181" formatCode="#,##0.000000"/>
    <numFmt numFmtId="182" formatCode="#,##0.0000000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5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 horizontal="left"/>
      <protection/>
    </xf>
    <xf numFmtId="0" fontId="25" fillId="0" borderId="0">
      <alignment/>
      <protection/>
    </xf>
    <xf numFmtId="0" fontId="54" fillId="0" borderId="0">
      <alignment horizontal="left"/>
      <protection/>
    </xf>
    <xf numFmtId="0" fontId="25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54" fillId="0" borderId="0">
      <alignment horizontal="left"/>
      <protection/>
    </xf>
    <xf numFmtId="0" fontId="25" fillId="0" borderId="0">
      <alignment/>
      <protection/>
    </xf>
    <xf numFmtId="49" fontId="21" fillId="0" borderId="1">
      <alignment/>
      <protection/>
    </xf>
    <xf numFmtId="4" fontId="21" fillId="0" borderId="2">
      <alignment horizontal="right"/>
      <protection/>
    </xf>
    <xf numFmtId="4" fontId="21" fillId="0" borderId="3">
      <alignment horizontal="right"/>
      <protection/>
    </xf>
    <xf numFmtId="49" fontId="21" fillId="0" borderId="0">
      <alignment horizontal="right"/>
      <protection/>
    </xf>
    <xf numFmtId="0" fontId="21" fillId="0" borderId="1">
      <alignment/>
      <protection/>
    </xf>
    <xf numFmtId="4" fontId="21" fillId="0" borderId="4">
      <alignment horizontal="right"/>
      <protection/>
    </xf>
    <xf numFmtId="49" fontId="21" fillId="0" borderId="5">
      <alignment horizontal="center"/>
      <protection/>
    </xf>
    <xf numFmtId="4" fontId="21" fillId="0" borderId="6">
      <alignment horizontal="right"/>
      <protection/>
    </xf>
    <xf numFmtId="0" fontId="22" fillId="0" borderId="0">
      <alignment horizontal="center"/>
      <protection/>
    </xf>
    <xf numFmtId="0" fontId="22" fillId="0" borderId="1">
      <alignment/>
      <protection/>
    </xf>
    <xf numFmtId="0" fontId="21" fillId="0" borderId="7">
      <alignment horizontal="left" wrapText="1"/>
      <protection/>
    </xf>
    <xf numFmtId="0" fontId="21" fillId="0" borderId="8">
      <alignment horizontal="left" wrapText="1" indent="1"/>
      <protection/>
    </xf>
    <xf numFmtId="0" fontId="21" fillId="0" borderId="7">
      <alignment horizontal="left" wrapText="1" indent="2"/>
      <protection/>
    </xf>
    <xf numFmtId="0" fontId="21" fillId="0" borderId="9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">
      <alignment horizontal="left"/>
      <protection/>
    </xf>
    <xf numFmtId="49" fontId="21" fillId="0" borderId="10">
      <alignment horizontal="center" wrapText="1"/>
      <protection/>
    </xf>
    <xf numFmtId="49" fontId="21" fillId="0" borderId="10">
      <alignment horizontal="left" wrapText="1"/>
      <protection/>
    </xf>
    <xf numFmtId="49" fontId="21" fillId="0" borderId="10">
      <alignment horizontal="center" shrinkToFit="1"/>
      <protection/>
    </xf>
    <xf numFmtId="49" fontId="21" fillId="0" borderId="1">
      <alignment horizontal="center"/>
      <protection/>
    </xf>
    <xf numFmtId="0" fontId="21" fillId="0" borderId="11">
      <alignment horizontal="center"/>
      <protection/>
    </xf>
    <xf numFmtId="0" fontId="21" fillId="0" borderId="0">
      <alignment horizontal="center"/>
      <protection/>
    </xf>
    <xf numFmtId="49" fontId="21" fillId="0" borderId="1">
      <alignment/>
      <protection/>
    </xf>
    <xf numFmtId="49" fontId="21" fillId="0" borderId="2">
      <alignment horizontal="center" shrinkToFit="1"/>
      <protection/>
    </xf>
    <xf numFmtId="0" fontId="21" fillId="0" borderId="1">
      <alignment horizontal="center"/>
      <protection/>
    </xf>
    <xf numFmtId="49" fontId="21" fillId="0" borderId="11">
      <alignment horizontal="center"/>
      <protection/>
    </xf>
    <xf numFmtId="49" fontId="21" fillId="0" borderId="0">
      <alignment horizontal="left"/>
      <protection/>
    </xf>
    <xf numFmtId="49" fontId="21" fillId="0" borderId="4">
      <alignment horizontal="center"/>
      <protection/>
    </xf>
    <xf numFmtId="0" fontId="22" fillId="0" borderId="12">
      <alignment horizontal="center" vertical="center" textRotation="90" wrapText="1"/>
      <protection/>
    </xf>
    <xf numFmtId="0" fontId="22" fillId="0" borderId="11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2">
      <alignment horizontal="center" vertical="center" textRotation="90"/>
      <protection/>
    </xf>
    <xf numFmtId="49" fontId="21" fillId="0" borderId="13">
      <alignment horizontal="center" vertical="center" wrapText="1"/>
      <protection/>
    </xf>
    <xf numFmtId="0" fontId="22" fillId="0" borderId="14">
      <alignment/>
      <protection/>
    </xf>
    <xf numFmtId="49" fontId="23" fillId="0" borderId="15">
      <alignment horizontal="left" vertical="center" wrapText="1"/>
      <protection/>
    </xf>
    <xf numFmtId="49" fontId="21" fillId="0" borderId="16">
      <alignment horizontal="left" vertical="center" wrapText="1" indent="2"/>
      <protection/>
    </xf>
    <xf numFmtId="49" fontId="21" fillId="0" borderId="9">
      <alignment horizontal="left" vertical="center" wrapText="1" indent="3"/>
      <protection/>
    </xf>
    <xf numFmtId="49" fontId="21" fillId="0" borderId="15">
      <alignment horizontal="left" vertical="center" wrapText="1" indent="3"/>
      <protection/>
    </xf>
    <xf numFmtId="49" fontId="21" fillId="0" borderId="17">
      <alignment horizontal="left" vertical="center" wrapText="1" indent="3"/>
      <protection/>
    </xf>
    <xf numFmtId="0" fontId="23" fillId="0" borderId="14">
      <alignment horizontal="left" vertical="center" wrapText="1"/>
      <protection/>
    </xf>
    <xf numFmtId="49" fontId="21" fillId="0" borderId="11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">
      <alignment horizontal="left" vertical="center" wrapText="1" indent="3"/>
      <protection/>
    </xf>
    <xf numFmtId="49" fontId="23" fillId="0" borderId="14">
      <alignment horizontal="left" vertical="center" wrapText="1"/>
      <protection/>
    </xf>
    <xf numFmtId="49" fontId="21" fillId="0" borderId="18">
      <alignment horizontal="center" vertical="center" wrapText="1"/>
      <protection/>
    </xf>
    <xf numFmtId="49" fontId="22" fillId="0" borderId="19">
      <alignment horizontal="center"/>
      <protection/>
    </xf>
    <xf numFmtId="49" fontId="22" fillId="0" borderId="20">
      <alignment horizontal="center" vertical="center" wrapText="1"/>
      <protection/>
    </xf>
    <xf numFmtId="49" fontId="21" fillId="0" borderId="21">
      <alignment horizontal="center" vertical="center" wrapText="1"/>
      <protection/>
    </xf>
    <xf numFmtId="49" fontId="21" fillId="0" borderId="10">
      <alignment horizontal="center" vertical="center" wrapText="1"/>
      <protection/>
    </xf>
    <xf numFmtId="49" fontId="21" fillId="0" borderId="20">
      <alignment horizontal="center" vertical="center" wrapText="1"/>
      <protection/>
    </xf>
    <xf numFmtId="49" fontId="21" fillId="0" borderId="22">
      <alignment horizontal="center" vertical="center" wrapText="1"/>
      <protection/>
    </xf>
    <xf numFmtId="49" fontId="21" fillId="0" borderId="23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0" fontId="21" fillId="0" borderId="13">
      <alignment horizontal="center" vertical="top"/>
      <protection/>
    </xf>
    <xf numFmtId="49" fontId="21" fillId="0" borderId="13">
      <alignment horizontal="center" vertical="top" wrapText="1"/>
      <protection/>
    </xf>
    <xf numFmtId="4" fontId="21" fillId="0" borderId="24">
      <alignment horizontal="right"/>
      <protection/>
    </xf>
    <xf numFmtId="0" fontId="21" fillId="0" borderId="25">
      <alignment/>
      <protection/>
    </xf>
    <xf numFmtId="4" fontId="21" fillId="0" borderId="18">
      <alignment horizontal="right"/>
      <protection/>
    </xf>
    <xf numFmtId="4" fontId="21" fillId="0" borderId="23">
      <alignment horizontal="right" shrinkToFit="1"/>
      <protection/>
    </xf>
    <xf numFmtId="4" fontId="21" fillId="0" borderId="0">
      <alignment horizontal="right" shrinkToFit="1"/>
      <protection/>
    </xf>
    <xf numFmtId="0" fontId="22" fillId="0" borderId="13">
      <alignment horizontal="center" vertical="top"/>
      <protection/>
    </xf>
    <xf numFmtId="0" fontId="21" fillId="0" borderId="13">
      <alignment horizontal="center" vertical="top" wrapText="1"/>
      <protection/>
    </xf>
    <xf numFmtId="0" fontId="21" fillId="0" borderId="13">
      <alignment horizontal="center" vertical="top"/>
      <protection/>
    </xf>
    <xf numFmtId="4" fontId="21" fillId="0" borderId="26">
      <alignment horizontal="right"/>
      <protection/>
    </xf>
    <xf numFmtId="0" fontId="21" fillId="0" borderId="27">
      <alignment/>
      <protection/>
    </xf>
    <xf numFmtId="4" fontId="21" fillId="0" borderId="28">
      <alignment horizontal="right"/>
      <protection/>
    </xf>
    <xf numFmtId="0" fontId="21" fillId="0" borderId="1">
      <alignment horizontal="right"/>
      <protection/>
    </xf>
    <xf numFmtId="0" fontId="22" fillId="0" borderId="13">
      <alignment horizontal="center" vertical="top"/>
      <protection/>
    </xf>
    <xf numFmtId="0" fontId="20" fillId="20" borderId="0">
      <alignment/>
      <protection/>
    </xf>
    <xf numFmtId="0" fontId="55" fillId="20" borderId="0">
      <alignment/>
      <protection/>
    </xf>
    <xf numFmtId="0" fontId="22" fillId="0" borderId="0">
      <alignment/>
      <protection/>
    </xf>
    <xf numFmtId="0" fontId="55" fillId="0" borderId="0">
      <alignment wrapText="1"/>
      <protection/>
    </xf>
    <xf numFmtId="0" fontId="24" fillId="0" borderId="0">
      <alignment/>
      <protection/>
    </xf>
    <xf numFmtId="0" fontId="55" fillId="0" borderId="0">
      <alignment/>
      <protection/>
    </xf>
    <xf numFmtId="0" fontId="21" fillId="0" borderId="0">
      <alignment horizontal="left"/>
      <protection/>
    </xf>
    <xf numFmtId="0" fontId="56" fillId="0" borderId="0">
      <alignment horizontal="center" wrapText="1"/>
      <protection/>
    </xf>
    <xf numFmtId="0" fontId="21" fillId="0" borderId="0">
      <alignment/>
      <protection/>
    </xf>
    <xf numFmtId="0" fontId="56" fillId="0" borderId="0">
      <alignment horizontal="center"/>
      <protection/>
    </xf>
    <xf numFmtId="0" fontId="25" fillId="0" borderId="0">
      <alignment/>
      <protection/>
    </xf>
    <xf numFmtId="0" fontId="55" fillId="0" borderId="0">
      <alignment horizontal="right"/>
      <protection/>
    </xf>
    <xf numFmtId="0" fontId="20" fillId="20" borderId="1">
      <alignment/>
      <protection/>
    </xf>
    <xf numFmtId="0" fontId="55" fillId="20" borderId="1">
      <alignment/>
      <protection/>
    </xf>
    <xf numFmtId="0" fontId="21" fillId="0" borderId="12">
      <alignment horizontal="center" vertical="top" wrapText="1"/>
      <protection/>
    </xf>
    <xf numFmtId="0" fontId="55" fillId="0" borderId="13">
      <alignment horizontal="center" vertical="center" wrapText="1"/>
      <protection/>
    </xf>
    <xf numFmtId="0" fontId="21" fillId="0" borderId="12">
      <alignment horizontal="center" vertical="center"/>
      <protection/>
    </xf>
    <xf numFmtId="0" fontId="55" fillId="20" borderId="29">
      <alignment/>
      <protection/>
    </xf>
    <xf numFmtId="0" fontId="20" fillId="20" borderId="29">
      <alignment/>
      <protection/>
    </xf>
    <xf numFmtId="49" fontId="55" fillId="0" borderId="13">
      <alignment horizontal="left" vertical="top" wrapText="1" indent="2"/>
      <protection/>
    </xf>
    <xf numFmtId="0" fontId="21" fillId="0" borderId="30">
      <alignment horizontal="left" wrapText="1"/>
      <protection/>
    </xf>
    <xf numFmtId="49" fontId="55" fillId="0" borderId="13">
      <alignment horizontal="center" vertical="top" shrinkToFit="1"/>
      <protection/>
    </xf>
    <xf numFmtId="0" fontId="21" fillId="0" borderId="7">
      <alignment horizontal="left" wrapText="1" indent="1"/>
      <protection/>
    </xf>
    <xf numFmtId="4" fontId="55" fillId="0" borderId="13">
      <alignment horizontal="right" vertical="top" shrinkToFit="1"/>
      <protection/>
    </xf>
    <xf numFmtId="0" fontId="21" fillId="0" borderId="14">
      <alignment horizontal="left" wrapText="1" indent="2"/>
      <protection/>
    </xf>
    <xf numFmtId="10" fontId="55" fillId="0" borderId="13">
      <alignment horizontal="right" vertical="top" shrinkToFit="1"/>
      <protection/>
    </xf>
    <xf numFmtId="0" fontId="20" fillId="20" borderId="31">
      <alignment/>
      <protection/>
    </xf>
    <xf numFmtId="0" fontId="55" fillId="20" borderId="29">
      <alignment shrinkToFit="1"/>
      <protection/>
    </xf>
    <xf numFmtId="0" fontId="26" fillId="0" borderId="0">
      <alignment horizontal="center" wrapText="1"/>
      <protection/>
    </xf>
    <xf numFmtId="0" fontId="57" fillId="0" borderId="13">
      <alignment horizontal="left"/>
      <protection/>
    </xf>
    <xf numFmtId="0" fontId="27" fillId="0" borderId="0">
      <alignment horizontal="center" vertical="top"/>
      <protection/>
    </xf>
    <xf numFmtId="4" fontId="57" fillId="21" borderId="13">
      <alignment horizontal="right" vertical="top" shrinkToFit="1"/>
      <protection/>
    </xf>
    <xf numFmtId="0" fontId="21" fillId="0" borderId="1">
      <alignment wrapText="1"/>
      <protection/>
    </xf>
    <xf numFmtId="10" fontId="57" fillId="21" borderId="13">
      <alignment horizontal="right" vertical="top" shrinkToFit="1"/>
      <protection/>
    </xf>
    <xf numFmtId="0" fontId="21" fillId="0" borderId="29">
      <alignment wrapText="1"/>
      <protection/>
    </xf>
    <xf numFmtId="0" fontId="55" fillId="20" borderId="11">
      <alignment/>
      <protection/>
    </xf>
    <xf numFmtId="0" fontId="21" fillId="0" borderId="11">
      <alignment horizontal="left"/>
      <protection/>
    </xf>
    <xf numFmtId="0" fontId="55" fillId="0" borderId="0">
      <alignment horizontal="left" wrapText="1"/>
      <protection/>
    </xf>
    <xf numFmtId="0" fontId="21" fillId="0" borderId="13">
      <alignment horizontal="center" vertical="top" wrapText="1"/>
      <protection/>
    </xf>
    <xf numFmtId="0" fontId="57" fillId="0" borderId="13">
      <alignment vertical="top" wrapText="1"/>
      <protection/>
    </xf>
    <xf numFmtId="0" fontId="21" fillId="0" borderId="18">
      <alignment horizontal="center" vertical="center"/>
      <protection/>
    </xf>
    <xf numFmtId="4" fontId="57" fillId="22" borderId="13">
      <alignment horizontal="right" vertical="top" shrinkToFit="1"/>
      <protection/>
    </xf>
    <xf numFmtId="0" fontId="20" fillId="20" borderId="32">
      <alignment/>
      <protection/>
    </xf>
    <xf numFmtId="10" fontId="57" fillId="22" borderId="13">
      <alignment horizontal="right" vertical="top" shrinkToFit="1"/>
      <protection/>
    </xf>
    <xf numFmtId="49" fontId="21" fillId="0" borderId="19">
      <alignment horizontal="center" wrapText="1"/>
      <protection/>
    </xf>
    <xf numFmtId="0" fontId="55" fillId="20" borderId="29">
      <alignment horizontal="center"/>
      <protection/>
    </xf>
    <xf numFmtId="49" fontId="21" fillId="0" borderId="21">
      <alignment horizontal="center" wrapText="1"/>
      <protection/>
    </xf>
    <xf numFmtId="0" fontId="55" fillId="20" borderId="29">
      <alignment horizontal="left"/>
      <protection/>
    </xf>
    <xf numFmtId="49" fontId="21" fillId="0" borderId="20">
      <alignment horizontal="center"/>
      <protection/>
    </xf>
    <xf numFmtId="0" fontId="55" fillId="20" borderId="11">
      <alignment horizontal="center"/>
      <protection/>
    </xf>
    <xf numFmtId="0" fontId="20" fillId="20" borderId="11">
      <alignment/>
      <protection/>
    </xf>
    <xf numFmtId="0" fontId="55" fillId="20" borderId="11">
      <alignment horizontal="left"/>
      <protection/>
    </xf>
    <xf numFmtId="0" fontId="20" fillId="20" borderId="33">
      <alignment/>
      <protection/>
    </xf>
    <xf numFmtId="0" fontId="21" fillId="0" borderId="23">
      <alignment/>
      <protection/>
    </xf>
    <xf numFmtId="0" fontId="21" fillId="0" borderId="0">
      <alignment horizontal="center"/>
      <protection/>
    </xf>
    <xf numFmtId="49" fontId="21" fillId="0" borderId="11">
      <alignment/>
      <protection/>
    </xf>
    <xf numFmtId="49" fontId="21" fillId="0" borderId="0">
      <alignment/>
      <protection/>
    </xf>
    <xf numFmtId="0" fontId="21" fillId="0" borderId="13">
      <alignment horizontal="center" vertical="center"/>
      <protection/>
    </xf>
    <xf numFmtId="0" fontId="20" fillId="20" borderId="34">
      <alignment/>
      <protection/>
    </xf>
    <xf numFmtId="49" fontId="21" fillId="0" borderId="24">
      <alignment horizontal="center"/>
      <protection/>
    </xf>
    <xf numFmtId="49" fontId="21" fillId="0" borderId="25">
      <alignment horizontal="center"/>
      <protection/>
    </xf>
    <xf numFmtId="49" fontId="21" fillId="0" borderId="13">
      <alignment horizontal="center"/>
      <protection/>
    </xf>
    <xf numFmtId="49" fontId="21" fillId="0" borderId="13">
      <alignment horizontal="center" vertical="top" wrapText="1"/>
      <protection/>
    </xf>
    <xf numFmtId="49" fontId="21" fillId="0" borderId="13">
      <alignment horizontal="center" vertical="top" wrapText="1"/>
      <protection/>
    </xf>
    <xf numFmtId="0" fontId="20" fillId="20" borderId="35">
      <alignment/>
      <protection/>
    </xf>
    <xf numFmtId="4" fontId="21" fillId="0" borderId="13">
      <alignment horizontal="right"/>
      <protection/>
    </xf>
    <xf numFmtId="0" fontId="21" fillId="23" borderId="23">
      <alignment/>
      <protection/>
    </xf>
    <xf numFmtId="49" fontId="21" fillId="0" borderId="36">
      <alignment horizontal="center" vertical="top"/>
      <protection/>
    </xf>
    <xf numFmtId="49" fontId="20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8" fillId="0" borderId="0">
      <alignment/>
      <protection/>
    </xf>
    <xf numFmtId="0" fontId="28" fillId="0" borderId="37">
      <alignment/>
      <protection/>
    </xf>
    <xf numFmtId="49" fontId="29" fillId="0" borderId="38">
      <alignment horizontal="right"/>
      <protection/>
    </xf>
    <xf numFmtId="0" fontId="21" fillId="0" borderId="38">
      <alignment horizontal="right"/>
      <protection/>
    </xf>
    <xf numFmtId="0" fontId="28" fillId="0" borderId="1">
      <alignment/>
      <protection/>
    </xf>
    <xf numFmtId="0" fontId="21" fillId="0" borderId="18">
      <alignment horizontal="center"/>
      <protection/>
    </xf>
    <xf numFmtId="49" fontId="20" fillId="0" borderId="39">
      <alignment horizontal="center"/>
      <protection/>
    </xf>
    <xf numFmtId="14" fontId="21" fillId="0" borderId="40">
      <alignment horizontal="center"/>
      <protection/>
    </xf>
    <xf numFmtId="0" fontId="21" fillId="0" borderId="41">
      <alignment horizontal="center"/>
      <protection/>
    </xf>
    <xf numFmtId="49" fontId="21" fillId="0" borderId="42">
      <alignment horizontal="center"/>
      <protection/>
    </xf>
    <xf numFmtId="49" fontId="21" fillId="0" borderId="40">
      <alignment horizontal="center"/>
      <protection/>
    </xf>
    <xf numFmtId="0" fontId="21" fillId="0" borderId="40">
      <alignment horizontal="center"/>
      <protection/>
    </xf>
    <xf numFmtId="49" fontId="21" fillId="0" borderId="43">
      <alignment horizontal="center"/>
      <protection/>
    </xf>
    <xf numFmtId="0" fontId="25" fillId="0" borderId="23">
      <alignment/>
      <protection/>
    </xf>
    <xf numFmtId="49" fontId="21" fillId="0" borderId="36">
      <alignment horizontal="center" vertical="top" wrapText="1"/>
      <protection/>
    </xf>
    <xf numFmtId="0" fontId="21" fillId="0" borderId="44">
      <alignment horizontal="center" vertical="center"/>
      <protection/>
    </xf>
    <xf numFmtId="4" fontId="21" fillId="0" borderId="5">
      <alignment horizontal="right"/>
      <protection/>
    </xf>
    <xf numFmtId="49" fontId="21" fillId="0" borderId="27">
      <alignment horizontal="center"/>
      <protection/>
    </xf>
    <xf numFmtId="0" fontId="21" fillId="0" borderId="0">
      <alignment horizontal="left" wrapText="1"/>
      <protection/>
    </xf>
    <xf numFmtId="0" fontId="21" fillId="0" borderId="1">
      <alignment horizontal="left"/>
      <protection/>
    </xf>
    <xf numFmtId="0" fontId="21" fillId="0" borderId="8">
      <alignment horizontal="left" wrapText="1"/>
      <protection/>
    </xf>
    <xf numFmtId="0" fontId="21" fillId="0" borderId="29">
      <alignment/>
      <protection/>
    </xf>
    <xf numFmtId="0" fontId="22" fillId="0" borderId="45">
      <alignment horizontal="left" wrapText="1"/>
      <protection/>
    </xf>
    <xf numFmtId="0" fontId="21" fillId="0" borderId="4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20">
      <alignment horizontal="center" wrapText="1"/>
      <protection/>
    </xf>
    <xf numFmtId="0" fontId="21" fillId="0" borderId="32">
      <alignment/>
      <protection/>
    </xf>
    <xf numFmtId="0" fontId="21" fillId="0" borderId="46">
      <alignment horizontal="center" wrapText="1"/>
      <protection/>
    </xf>
    <xf numFmtId="0" fontId="20" fillId="20" borderId="23">
      <alignment/>
      <protection/>
    </xf>
    <xf numFmtId="49" fontId="21" fillId="0" borderId="10">
      <alignment horizontal="center"/>
      <protection/>
    </xf>
    <xf numFmtId="49" fontId="21" fillId="0" borderId="0">
      <alignment horizontal="center"/>
      <protection/>
    </xf>
    <xf numFmtId="49" fontId="21" fillId="0" borderId="2">
      <alignment horizontal="center" wrapText="1"/>
      <protection/>
    </xf>
    <xf numFmtId="49" fontId="21" fillId="0" borderId="3">
      <alignment horizontal="center" wrapText="1"/>
      <protection/>
    </xf>
    <xf numFmtId="49" fontId="21" fillId="0" borderId="2">
      <alignment horizontal="center"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8" fillId="30" borderId="47" applyNumberFormat="0" applyAlignment="0" applyProtection="0"/>
    <xf numFmtId="0" fontId="59" fillId="31" borderId="48" applyNumberFormat="0" applyAlignment="0" applyProtection="0"/>
    <xf numFmtId="0" fontId="60" fillId="31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2" applyNumberFormat="0" applyFill="0" applyAlignment="0" applyProtection="0"/>
    <xf numFmtId="0" fontId="65" fillId="32" borderId="53" applyNumberFormat="0" applyAlignment="0" applyProtection="0"/>
    <xf numFmtId="0" fontId="6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68" fillId="34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1" borderId="54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9" fontId="0" fillId="0" borderId="0" applyFont="0" applyFill="0" applyBorder="0" applyAlignment="0" applyProtection="0"/>
    <xf numFmtId="0" fontId="70" fillId="0" borderId="5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6" borderId="0" applyNumberFormat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73" fontId="2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49" fontId="7" fillId="0" borderId="0" xfId="0" applyNumberFormat="1" applyFont="1" applyFill="1" applyBorder="1" applyAlignment="1">
      <alignment horizontal="justify" wrapText="1"/>
    </xf>
    <xf numFmtId="49" fontId="14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73" fontId="3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 vertical="top"/>
    </xf>
    <xf numFmtId="173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vertical="top"/>
    </xf>
    <xf numFmtId="173" fontId="17" fillId="0" borderId="0" xfId="0" applyNumberFormat="1" applyFont="1" applyFill="1" applyAlignment="1">
      <alignment vertical="top"/>
    </xf>
    <xf numFmtId="173" fontId="7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173" fontId="21" fillId="0" borderId="0" xfId="44" applyNumberFormat="1" applyFont="1" applyFill="1" applyBorder="1" applyProtection="1">
      <alignment horizontal="right"/>
      <protection/>
    </xf>
    <xf numFmtId="0" fontId="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173" fontId="2" fillId="0" borderId="0" xfId="0" applyNumberFormat="1" applyFont="1" applyFill="1" applyBorder="1" applyAlignment="1" applyProtection="1">
      <alignment vertical="top"/>
      <protection/>
    </xf>
    <xf numFmtId="173" fontId="30" fillId="0" borderId="0" xfId="0" applyNumberFormat="1" applyFont="1" applyFill="1" applyAlignment="1">
      <alignment vertical="top"/>
    </xf>
    <xf numFmtId="173" fontId="31" fillId="0" borderId="0" xfId="0" applyNumberFormat="1" applyFont="1" applyFill="1" applyBorder="1" applyAlignment="1">
      <alignment horizontal="center" vertical="top" wrapText="1"/>
    </xf>
    <xf numFmtId="173" fontId="2" fillId="37" borderId="0" xfId="0" applyNumberFormat="1" applyFont="1" applyFill="1" applyBorder="1" applyAlignment="1">
      <alignment vertical="top"/>
    </xf>
    <xf numFmtId="173" fontId="73" fillId="37" borderId="0" xfId="0" applyNumberFormat="1" applyFont="1" applyFill="1" applyBorder="1" applyAlignment="1">
      <alignment vertical="top"/>
    </xf>
    <xf numFmtId="173" fontId="31" fillId="0" borderId="0" xfId="0" applyNumberFormat="1" applyFont="1" applyFill="1" applyBorder="1" applyAlignment="1">
      <alignment vertical="top"/>
    </xf>
    <xf numFmtId="173" fontId="30" fillId="0" borderId="0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178" fontId="30" fillId="0" borderId="0" xfId="0" applyNumberFormat="1" applyFont="1" applyFill="1" applyAlignment="1">
      <alignment vertical="top"/>
    </xf>
    <xf numFmtId="0" fontId="2" fillId="0" borderId="5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178" fontId="30" fillId="0" borderId="0" xfId="0" applyNumberFormat="1" applyFont="1" applyFill="1" applyBorder="1" applyAlignment="1">
      <alignment vertical="top"/>
    </xf>
    <xf numFmtId="178" fontId="18" fillId="0" borderId="0" xfId="0" applyNumberFormat="1" applyFont="1" applyFill="1" applyBorder="1" applyAlignment="1">
      <alignment vertical="top"/>
    </xf>
    <xf numFmtId="178" fontId="30" fillId="0" borderId="0" xfId="0" applyNumberFormat="1" applyFont="1" applyFill="1" applyBorder="1" applyAlignment="1" applyProtection="1">
      <alignment vertical="top"/>
      <protection/>
    </xf>
    <xf numFmtId="178" fontId="18" fillId="0" borderId="0" xfId="0" applyNumberFormat="1" applyFont="1" applyFill="1" applyAlignment="1">
      <alignment vertical="top"/>
    </xf>
    <xf numFmtId="173" fontId="7" fillId="37" borderId="0" xfId="0" applyNumberFormat="1" applyFont="1" applyFill="1" applyBorder="1" applyAlignment="1">
      <alignment vertical="top"/>
    </xf>
    <xf numFmtId="173" fontId="74" fillId="0" borderId="0" xfId="0" applyNumberFormat="1" applyFont="1" applyFill="1" applyBorder="1" applyAlignment="1">
      <alignment horizontal="right" vertical="top"/>
    </xf>
    <xf numFmtId="173" fontId="7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7" fillId="0" borderId="0" xfId="0" applyNumberFormat="1" applyFont="1" applyFill="1" applyAlignment="1">
      <alignment horizontal="right" vertical="top"/>
    </xf>
    <xf numFmtId="173" fontId="3" fillId="0" borderId="0" xfId="0" applyNumberFormat="1" applyFont="1" applyFill="1" applyBorder="1" applyAlignment="1" applyProtection="1">
      <alignment vertical="top"/>
      <protection/>
    </xf>
    <xf numFmtId="173" fontId="2" fillId="0" borderId="0" xfId="0" applyNumberFormat="1" applyFont="1" applyFill="1" applyAlignment="1">
      <alignment horizontal="right" vertical="top"/>
    </xf>
    <xf numFmtId="173" fontId="2" fillId="0" borderId="0" xfId="0" applyNumberFormat="1" applyFont="1" applyFill="1" applyBorder="1" applyAlignment="1" applyProtection="1">
      <alignment vertical="top"/>
      <protection/>
    </xf>
    <xf numFmtId="173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>
      <alignment horizontal="justify" vertical="top" wrapText="1" shrinkToFit="1"/>
    </xf>
    <xf numFmtId="173" fontId="6" fillId="0" borderId="0" xfId="0" applyNumberFormat="1" applyFont="1" applyFill="1" applyBorder="1" applyAlignment="1">
      <alignment horizontal="center" vertical="top" wrapText="1"/>
    </xf>
    <xf numFmtId="178" fontId="1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61" xfId="0" applyNumberFormat="1" applyFont="1" applyFill="1" applyBorder="1" applyAlignment="1" applyProtection="1">
      <alignment horizontal="right" vertical="top"/>
      <protection/>
    </xf>
  </cellXfs>
  <cellStyles count="2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8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139" xfId="82"/>
    <cellStyle name="xl140" xfId="83"/>
    <cellStyle name="xl141" xfId="84"/>
    <cellStyle name="xl142" xfId="85"/>
    <cellStyle name="xl143" xfId="86"/>
    <cellStyle name="xl144" xfId="87"/>
    <cellStyle name="xl145" xfId="88"/>
    <cellStyle name="xl146" xfId="89"/>
    <cellStyle name="xl147" xfId="90"/>
    <cellStyle name="xl148" xfId="91"/>
    <cellStyle name="xl149" xfId="92"/>
    <cellStyle name="xl150" xfId="93"/>
    <cellStyle name="xl151" xfId="94"/>
    <cellStyle name="xl152" xfId="95"/>
    <cellStyle name="xl153" xfId="96"/>
    <cellStyle name="xl154" xfId="97"/>
    <cellStyle name="xl155" xfId="98"/>
    <cellStyle name="xl156" xfId="99"/>
    <cellStyle name="xl157" xfId="100"/>
    <cellStyle name="xl158" xfId="101"/>
    <cellStyle name="xl159" xfId="102"/>
    <cellStyle name="xl160" xfId="103"/>
    <cellStyle name="xl161" xfId="104"/>
    <cellStyle name="xl162" xfId="105"/>
    <cellStyle name="xl163" xfId="106"/>
    <cellStyle name="xl164" xfId="107"/>
    <cellStyle name="xl165" xfId="108"/>
    <cellStyle name="xl166" xfId="109"/>
    <cellStyle name="xl167" xfId="110"/>
    <cellStyle name="xl168" xfId="111"/>
    <cellStyle name="xl169" xfId="112"/>
    <cellStyle name="xl21" xfId="113"/>
    <cellStyle name="xl21 2" xfId="114"/>
    <cellStyle name="xl22" xfId="115"/>
    <cellStyle name="xl22 2" xfId="116"/>
    <cellStyle name="xl23" xfId="117"/>
    <cellStyle name="xl23 2" xfId="118"/>
    <cellStyle name="xl24" xfId="119"/>
    <cellStyle name="xl24 2" xfId="120"/>
    <cellStyle name="xl25" xfId="121"/>
    <cellStyle name="xl25 2" xfId="122"/>
    <cellStyle name="xl26" xfId="123"/>
    <cellStyle name="xl26 2" xfId="124"/>
    <cellStyle name="xl27" xfId="125"/>
    <cellStyle name="xl27 2" xfId="126"/>
    <cellStyle name="xl28" xfId="127"/>
    <cellStyle name="xl28 2" xfId="128"/>
    <cellStyle name="xl29" xfId="129"/>
    <cellStyle name="xl29 2" xfId="130"/>
    <cellStyle name="xl30" xfId="131"/>
    <cellStyle name="xl30 2" xfId="132"/>
    <cellStyle name="xl31" xfId="133"/>
    <cellStyle name="xl31 2" xfId="134"/>
    <cellStyle name="xl32" xfId="135"/>
    <cellStyle name="xl32 2" xfId="136"/>
    <cellStyle name="xl33" xfId="137"/>
    <cellStyle name="xl33 2" xfId="138"/>
    <cellStyle name="xl34" xfId="139"/>
    <cellStyle name="xl34 2" xfId="140"/>
    <cellStyle name="xl35" xfId="141"/>
    <cellStyle name="xl35 2" xfId="142"/>
    <cellStyle name="xl36" xfId="143"/>
    <cellStyle name="xl36 2" xfId="144"/>
    <cellStyle name="xl37" xfId="145"/>
    <cellStyle name="xl37 2" xfId="146"/>
    <cellStyle name="xl38" xfId="147"/>
    <cellStyle name="xl38 2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Обычный 10" xfId="237"/>
    <cellStyle name="Обычный 2" xfId="238"/>
    <cellStyle name="Обычный 3" xfId="239"/>
    <cellStyle name="Обычный 3 2" xfId="240"/>
    <cellStyle name="Обычный 4" xfId="241"/>
    <cellStyle name="Обычный 4 2" xfId="242"/>
    <cellStyle name="Обычный 5" xfId="243"/>
    <cellStyle name="Обычный 5 2" xfId="244"/>
    <cellStyle name="Обычный 6" xfId="245"/>
    <cellStyle name="Обычный 6 2" xfId="246"/>
    <cellStyle name="Обычный 7" xfId="247"/>
    <cellStyle name="Обычный 7 2" xfId="248"/>
    <cellStyle name="Обычный 8" xfId="249"/>
    <cellStyle name="Обычный 8 2" xfId="250"/>
    <cellStyle name="Обычный 9" xfId="251"/>
    <cellStyle name="Плохой" xfId="252"/>
    <cellStyle name="Пояснение" xfId="253"/>
    <cellStyle name="Примечание" xfId="254"/>
    <cellStyle name="Примечание 2" xfId="255"/>
    <cellStyle name="Примечание 2 2" xfId="256"/>
    <cellStyle name="Примечание 3" xfId="257"/>
    <cellStyle name="Примечание 3 2" xfId="258"/>
    <cellStyle name="Примечание 4" xfId="259"/>
    <cellStyle name="Примечание 4 2" xfId="260"/>
    <cellStyle name="Примечание 5" xfId="261"/>
    <cellStyle name="Примечание 5 2" xfId="262"/>
    <cellStyle name="Percent" xfId="263"/>
    <cellStyle name="Связанная ячейка" xfId="264"/>
    <cellStyle name="Текст предупреждения" xfId="265"/>
    <cellStyle name="Comma" xfId="266"/>
    <cellStyle name="Comma [0]" xfId="267"/>
    <cellStyle name="Хороший" xfId="2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1">
      <pane xSplit="2" ySplit="6" topLeftCell="D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4" sqref="I54"/>
    </sheetView>
  </sheetViews>
  <sheetFormatPr defaultColWidth="9.140625" defaultRowHeight="12.75"/>
  <cols>
    <col min="1" max="1" width="23.28125" style="1" customWidth="1"/>
    <col min="2" max="2" width="38.57421875" style="27" customWidth="1"/>
    <col min="3" max="3" width="14.00390625" style="3" customWidth="1"/>
    <col min="4" max="4" width="15.7109375" style="41" customWidth="1"/>
    <col min="5" max="5" width="15.28125" style="41" customWidth="1"/>
    <col min="6" max="6" width="15.00390625" style="41" customWidth="1"/>
    <col min="7" max="8" width="12.7109375" style="50" customWidth="1"/>
    <col min="9" max="9" width="35.140625" style="41" customWidth="1"/>
    <col min="10" max="10" width="17.57421875" style="41" customWidth="1"/>
    <col min="11" max="11" width="15.140625" style="41" customWidth="1"/>
    <col min="12" max="16384" width="9.140625" style="41" customWidth="1"/>
  </cols>
  <sheetData>
    <row r="1" spans="1:8" s="40" customFormat="1" ht="18" customHeight="1">
      <c r="A1" s="108" t="s">
        <v>212</v>
      </c>
      <c r="B1" s="108"/>
      <c r="C1" s="108"/>
      <c r="D1" s="108"/>
      <c r="E1" s="108"/>
      <c r="F1" s="108"/>
      <c r="G1" s="108"/>
      <c r="H1" s="108"/>
    </row>
    <row r="2" spans="2:8" ht="9" customHeight="1">
      <c r="B2" s="2"/>
      <c r="D2" s="4"/>
      <c r="E2" s="3"/>
      <c r="F2" s="3"/>
      <c r="G2" s="56"/>
      <c r="H2" s="56"/>
    </row>
    <row r="3" spans="2:8" ht="15">
      <c r="B3" s="2"/>
      <c r="D3" s="3"/>
      <c r="E3" s="3"/>
      <c r="F3" s="3"/>
      <c r="G3" s="109" t="s">
        <v>91</v>
      </c>
      <c r="H3" s="109"/>
    </row>
    <row r="4" spans="1:8" s="42" customFormat="1" ht="68.25" customHeight="1">
      <c r="A4" s="5" t="s">
        <v>110</v>
      </c>
      <c r="B4" s="6" t="s">
        <v>90</v>
      </c>
      <c r="C4" s="6" t="s">
        <v>222</v>
      </c>
      <c r="D4" s="6" t="s">
        <v>225</v>
      </c>
      <c r="E4" s="57" t="s">
        <v>230</v>
      </c>
      <c r="F4" s="6" t="s">
        <v>224</v>
      </c>
      <c r="G4" s="57" t="s">
        <v>221</v>
      </c>
      <c r="H4" s="85" t="s">
        <v>223</v>
      </c>
    </row>
    <row r="5" spans="1:8" s="43" customFormat="1" ht="16.5" customHeight="1">
      <c r="A5" s="7">
        <v>1</v>
      </c>
      <c r="B5" s="8">
        <v>2</v>
      </c>
      <c r="C5" s="9">
        <v>3</v>
      </c>
      <c r="D5" s="6">
        <v>4</v>
      </c>
      <c r="E5" s="58">
        <v>5</v>
      </c>
      <c r="F5" s="58">
        <v>6</v>
      </c>
      <c r="G5" s="58">
        <v>7</v>
      </c>
      <c r="H5" s="59">
        <v>8</v>
      </c>
    </row>
    <row r="6" spans="1:8" s="42" customFormat="1" ht="13.5" customHeight="1">
      <c r="A6" s="10"/>
      <c r="B6" s="11"/>
      <c r="C6" s="10"/>
      <c r="D6" s="60"/>
      <c r="E6" s="61"/>
      <c r="F6" s="61"/>
      <c r="G6" s="62"/>
      <c r="H6" s="12"/>
    </row>
    <row r="7" spans="1:10" s="44" customFormat="1" ht="15" customHeight="1">
      <c r="A7" s="28"/>
      <c r="B7" s="13" t="s">
        <v>73</v>
      </c>
      <c r="C7" s="28"/>
      <c r="D7" s="28"/>
      <c r="E7" s="63"/>
      <c r="F7" s="63"/>
      <c r="G7" s="64"/>
      <c r="H7" s="64"/>
      <c r="I7" s="3"/>
      <c r="J7" s="63"/>
    </row>
    <row r="8" spans="1:10" s="45" customFormat="1" ht="29.25" customHeight="1">
      <c r="A8" s="29" t="s">
        <v>74</v>
      </c>
      <c r="B8" s="14" t="s">
        <v>96</v>
      </c>
      <c r="C8" s="92">
        <f>C9+C12+C14+C17+C21+C22+C23+C24+C25+C26+C27+C28+C29+C30</f>
        <v>15067670.6</v>
      </c>
      <c r="D8" s="92">
        <f>D9+D12+D14+D17+D21+D22+D23+D24+D25+D26+D27+D28+D29+D30</f>
        <v>15512470.6</v>
      </c>
      <c r="E8" s="92">
        <f>E9+E12+E14+E17+E21+E22+E23+E24+E25+E26+E27+E28+E29+E30-0.1</f>
        <v>10720447.1</v>
      </c>
      <c r="F8" s="92">
        <f>F9+F12+F14+F17+F21+F22+F23+F24+F25+F26+F27+F28+F29+F30</f>
        <v>15512470.6</v>
      </c>
      <c r="G8" s="92">
        <f>G9+G12+G14+G17+G21+G22+G23+G24+G25+G26+G27+G28+G29+G30</f>
        <v>15383217.600000001</v>
      </c>
      <c r="H8" s="93">
        <f>+G8/F8*100</f>
        <v>99.16678004856301</v>
      </c>
      <c r="I8" s="70"/>
      <c r="J8" s="71"/>
    </row>
    <row r="9" spans="1:10" s="46" customFormat="1" ht="14.25" customHeight="1">
      <c r="A9" s="29" t="s">
        <v>75</v>
      </c>
      <c r="B9" s="14" t="s">
        <v>115</v>
      </c>
      <c r="C9" s="93">
        <f>C10+C11</f>
        <v>9314165</v>
      </c>
      <c r="D9" s="93">
        <f>D10+D11</f>
        <v>9314165</v>
      </c>
      <c r="E9" s="93">
        <f>E10+E11</f>
        <v>6252304.3</v>
      </c>
      <c r="F9" s="93">
        <f>F10+F11</f>
        <v>9314165</v>
      </c>
      <c r="G9" s="93">
        <f>G10+G11</f>
        <v>9314165</v>
      </c>
      <c r="H9" s="93">
        <f aca="true" t="shared" si="0" ref="H9:H77">+G9/F9*100</f>
        <v>100</v>
      </c>
      <c r="I9" s="70"/>
      <c r="J9" s="82"/>
    </row>
    <row r="10" spans="1:10" s="45" customFormat="1" ht="17.25" customHeight="1">
      <c r="A10" s="30" t="s">
        <v>76</v>
      </c>
      <c r="B10" s="15" t="s">
        <v>70</v>
      </c>
      <c r="C10" s="12">
        <v>3579831</v>
      </c>
      <c r="D10" s="12">
        <v>3579831</v>
      </c>
      <c r="E10" s="12">
        <v>2382926.3</v>
      </c>
      <c r="F10" s="12">
        <v>3579831</v>
      </c>
      <c r="G10" s="12">
        <v>3579831</v>
      </c>
      <c r="H10" s="93">
        <f t="shared" si="0"/>
        <v>100</v>
      </c>
      <c r="I10" s="70"/>
      <c r="J10" s="71"/>
    </row>
    <row r="11" spans="1:10" s="45" customFormat="1" ht="18" customHeight="1">
      <c r="A11" s="30" t="s">
        <v>77</v>
      </c>
      <c r="B11" s="15" t="s">
        <v>40</v>
      </c>
      <c r="C11" s="12">
        <v>5734334</v>
      </c>
      <c r="D11" s="12">
        <v>5734334</v>
      </c>
      <c r="E11" s="12">
        <v>3869378</v>
      </c>
      <c r="F11" s="12">
        <v>5734334</v>
      </c>
      <c r="G11" s="12">
        <v>5734334</v>
      </c>
      <c r="H11" s="93">
        <f t="shared" si="0"/>
        <v>100</v>
      </c>
      <c r="I11" s="70"/>
      <c r="J11" s="73"/>
    </row>
    <row r="12" spans="1:10" s="46" customFormat="1" ht="38.25">
      <c r="A12" s="29" t="s">
        <v>78</v>
      </c>
      <c r="B12" s="14" t="s">
        <v>116</v>
      </c>
      <c r="C12" s="93">
        <f>C13</f>
        <v>1347719</v>
      </c>
      <c r="D12" s="93">
        <f>D13</f>
        <v>1724719</v>
      </c>
      <c r="E12" s="93">
        <f>E13</f>
        <v>1433059.9</v>
      </c>
      <c r="F12" s="93">
        <f>F13</f>
        <v>1724719</v>
      </c>
      <c r="G12" s="93">
        <f>G13</f>
        <v>1724719</v>
      </c>
      <c r="H12" s="93">
        <f t="shared" si="0"/>
        <v>100</v>
      </c>
      <c r="I12" s="70"/>
      <c r="J12" s="80"/>
    </row>
    <row r="13" spans="1:10" s="45" customFormat="1" ht="39.75" customHeight="1">
      <c r="A13" s="30" t="s">
        <v>79</v>
      </c>
      <c r="B13" s="15" t="s">
        <v>92</v>
      </c>
      <c r="C13" s="12">
        <v>1347719</v>
      </c>
      <c r="D13" s="12">
        <v>1724719</v>
      </c>
      <c r="E13" s="12">
        <v>1433059.9</v>
      </c>
      <c r="F13" s="12">
        <v>1724719</v>
      </c>
      <c r="G13" s="12">
        <v>1724719</v>
      </c>
      <c r="H13" s="93">
        <f t="shared" si="0"/>
        <v>100</v>
      </c>
      <c r="I13" s="70"/>
      <c r="J13" s="73"/>
    </row>
    <row r="14" spans="1:10" s="46" customFormat="1" ht="15" customHeight="1">
      <c r="A14" s="29" t="s">
        <v>80</v>
      </c>
      <c r="B14" s="14" t="s">
        <v>117</v>
      </c>
      <c r="C14" s="93">
        <f>C15+C16</f>
        <v>1144203</v>
      </c>
      <c r="D14" s="93">
        <f>D15+D16</f>
        <v>1212003</v>
      </c>
      <c r="E14" s="93">
        <f>E15+E16</f>
        <v>914816.2</v>
      </c>
      <c r="F14" s="93">
        <f>F15+F16</f>
        <v>1212003</v>
      </c>
      <c r="G14" s="93">
        <f>G15+G16</f>
        <v>1212003</v>
      </c>
      <c r="H14" s="93">
        <f t="shared" si="0"/>
        <v>100</v>
      </c>
      <c r="I14" s="70"/>
      <c r="J14" s="72"/>
    </row>
    <row r="15" spans="1:10" s="45" customFormat="1" ht="27" customHeight="1">
      <c r="A15" s="30" t="s">
        <v>199</v>
      </c>
      <c r="B15" s="15" t="s">
        <v>129</v>
      </c>
      <c r="C15" s="12">
        <v>1144203</v>
      </c>
      <c r="D15" s="12">
        <f>1200003+12000</f>
        <v>1212003</v>
      </c>
      <c r="E15" s="12">
        <v>914816.2</v>
      </c>
      <c r="F15" s="12">
        <f>1200003+12000</f>
        <v>1212003</v>
      </c>
      <c r="G15" s="12">
        <f>1200003+12000</f>
        <v>1212003</v>
      </c>
      <c r="H15" s="93">
        <f t="shared" si="0"/>
        <v>100</v>
      </c>
      <c r="I15" s="70"/>
      <c r="J15" s="81"/>
    </row>
    <row r="16" spans="1:10" s="46" customFormat="1" ht="14.25" customHeight="1" hidden="1">
      <c r="A16" s="30" t="s">
        <v>81</v>
      </c>
      <c r="B16" s="15" t="s">
        <v>82</v>
      </c>
      <c r="C16" s="12"/>
      <c r="D16" s="78"/>
      <c r="E16" s="78"/>
      <c r="F16" s="78"/>
      <c r="G16" s="79"/>
      <c r="H16" s="91" t="e">
        <f t="shared" si="0"/>
        <v>#DIV/0!</v>
      </c>
      <c r="I16" s="70"/>
      <c r="J16" s="72"/>
    </row>
    <row r="17" spans="1:10" s="46" customFormat="1" ht="14.25" customHeight="1">
      <c r="A17" s="29" t="s">
        <v>83</v>
      </c>
      <c r="B17" s="14" t="s">
        <v>94</v>
      </c>
      <c r="C17" s="93">
        <f>SUM(C18:C20)</f>
        <v>2508959</v>
      </c>
      <c r="D17" s="93">
        <f>SUM(D18:D20)</f>
        <v>2508959</v>
      </c>
      <c r="E17" s="93">
        <f>SUM(E18:E20)</f>
        <v>1730895.3</v>
      </c>
      <c r="F17" s="93">
        <f>SUM(F18:F20)</f>
        <v>2508959</v>
      </c>
      <c r="G17" s="93">
        <f>SUM(G18:G20)</f>
        <v>2509361</v>
      </c>
      <c r="H17" s="93">
        <f t="shared" si="0"/>
        <v>100.01602258147702</v>
      </c>
      <c r="I17" s="70"/>
      <c r="J17" s="72"/>
    </row>
    <row r="18" spans="1:10" s="47" customFormat="1" ht="15" customHeight="1">
      <c r="A18" s="30" t="s">
        <v>84</v>
      </c>
      <c r="B18" s="15" t="s">
        <v>85</v>
      </c>
      <c r="C18" s="12">
        <v>1882123</v>
      </c>
      <c r="D18" s="12">
        <v>1882123</v>
      </c>
      <c r="E18" s="12">
        <v>1438850.8</v>
      </c>
      <c r="F18" s="12">
        <v>1882123</v>
      </c>
      <c r="G18" s="12">
        <v>1882123</v>
      </c>
      <c r="H18" s="93">
        <f t="shared" si="0"/>
        <v>100</v>
      </c>
      <c r="I18" s="70"/>
      <c r="J18" s="74"/>
    </row>
    <row r="19" spans="1:10" s="46" customFormat="1" ht="15" customHeight="1">
      <c r="A19" s="30" t="s">
        <v>86</v>
      </c>
      <c r="B19" s="15" t="s">
        <v>71</v>
      </c>
      <c r="C19" s="12">
        <v>625324</v>
      </c>
      <c r="D19" s="12">
        <v>625324</v>
      </c>
      <c r="E19" s="12">
        <v>290130.5</v>
      </c>
      <c r="F19" s="12">
        <v>625324</v>
      </c>
      <c r="G19" s="12">
        <v>625324</v>
      </c>
      <c r="H19" s="93">
        <f t="shared" si="0"/>
        <v>100</v>
      </c>
      <c r="I19" s="70"/>
      <c r="J19" s="72"/>
    </row>
    <row r="20" spans="1:10" s="46" customFormat="1" ht="15" customHeight="1">
      <c r="A20" s="31" t="s">
        <v>178</v>
      </c>
      <c r="B20" s="16" t="s">
        <v>177</v>
      </c>
      <c r="C20" s="12">
        <v>1512</v>
      </c>
      <c r="D20" s="12">
        <v>1512</v>
      </c>
      <c r="E20" s="12">
        <v>1914</v>
      </c>
      <c r="F20" s="12">
        <v>1512</v>
      </c>
      <c r="G20" s="12">
        <v>1914</v>
      </c>
      <c r="H20" s="93">
        <f t="shared" si="0"/>
        <v>126.58730158730158</v>
      </c>
      <c r="I20" s="70"/>
      <c r="J20" s="72"/>
    </row>
    <row r="21" spans="1:10" s="46" customFormat="1" ht="27" customHeight="1">
      <c r="A21" s="29" t="s">
        <v>87</v>
      </c>
      <c r="B21" s="14" t="s">
        <v>118</v>
      </c>
      <c r="C21" s="93">
        <v>16300</v>
      </c>
      <c r="D21" s="93">
        <v>16300</v>
      </c>
      <c r="E21" s="93">
        <v>12261.5</v>
      </c>
      <c r="F21" s="93">
        <v>16300</v>
      </c>
      <c r="G21" s="93">
        <v>16300</v>
      </c>
      <c r="H21" s="93">
        <f t="shared" si="0"/>
        <v>100</v>
      </c>
      <c r="I21" s="70"/>
      <c r="J21" s="72"/>
    </row>
    <row r="22" spans="1:10" s="46" customFormat="1" ht="15" customHeight="1">
      <c r="A22" s="29" t="s">
        <v>88</v>
      </c>
      <c r="B22" s="14" t="s">
        <v>119</v>
      </c>
      <c r="C22" s="93">
        <v>126511</v>
      </c>
      <c r="D22" s="93">
        <v>126511</v>
      </c>
      <c r="E22" s="93">
        <v>89561</v>
      </c>
      <c r="F22" s="93">
        <v>126511</v>
      </c>
      <c r="G22" s="93">
        <v>126511</v>
      </c>
      <c r="H22" s="93">
        <f t="shared" si="0"/>
        <v>100</v>
      </c>
      <c r="I22" s="70"/>
      <c r="J22" s="72"/>
    </row>
    <row r="23" spans="1:10" s="46" customFormat="1" ht="39" customHeight="1">
      <c r="A23" s="29" t="s">
        <v>37</v>
      </c>
      <c r="B23" s="14" t="s">
        <v>120</v>
      </c>
      <c r="C23" s="93">
        <v>0</v>
      </c>
      <c r="D23" s="93">
        <v>0</v>
      </c>
      <c r="E23" s="93">
        <v>26.5</v>
      </c>
      <c r="F23" s="93">
        <v>0</v>
      </c>
      <c r="G23" s="93">
        <v>26.5</v>
      </c>
      <c r="H23" s="93"/>
      <c r="I23" s="70"/>
      <c r="J23" s="72"/>
    </row>
    <row r="24" spans="1:10" s="46" customFormat="1" ht="43.5" customHeight="1">
      <c r="A24" s="29" t="s">
        <v>38</v>
      </c>
      <c r="B24" s="14" t="s">
        <v>121</v>
      </c>
      <c r="C24" s="93">
        <v>41433</v>
      </c>
      <c r="D24" s="93">
        <v>41433</v>
      </c>
      <c r="E24" s="93">
        <v>41331.9</v>
      </c>
      <c r="F24" s="93">
        <v>41433</v>
      </c>
      <c r="G24" s="93">
        <v>41433</v>
      </c>
      <c r="H24" s="93">
        <f t="shared" si="0"/>
        <v>100</v>
      </c>
      <c r="I24" s="70"/>
      <c r="J24" s="72"/>
    </row>
    <row r="25" spans="1:10" s="46" customFormat="1" ht="31.5" customHeight="1">
      <c r="A25" s="29" t="s">
        <v>39</v>
      </c>
      <c r="B25" s="14" t="s">
        <v>122</v>
      </c>
      <c r="C25" s="93">
        <v>81253.6</v>
      </c>
      <c r="D25" s="93">
        <v>81253.6</v>
      </c>
      <c r="E25" s="93">
        <v>83213.3</v>
      </c>
      <c r="F25" s="93">
        <v>81253.6</v>
      </c>
      <c r="G25" s="93">
        <v>83213.3</v>
      </c>
      <c r="H25" s="93">
        <f t="shared" si="0"/>
        <v>102.41183159884608</v>
      </c>
      <c r="I25" s="70"/>
      <c r="J25" s="72"/>
    </row>
    <row r="26" spans="1:10" s="46" customFormat="1" ht="28.5" customHeight="1">
      <c r="A26" s="32" t="s">
        <v>32</v>
      </c>
      <c r="B26" s="17" t="s">
        <v>123</v>
      </c>
      <c r="C26" s="93">
        <v>30045</v>
      </c>
      <c r="D26" s="93">
        <v>30045</v>
      </c>
      <c r="E26" s="93">
        <v>23842.9</v>
      </c>
      <c r="F26" s="93">
        <v>30045</v>
      </c>
      <c r="G26" s="93">
        <v>30045</v>
      </c>
      <c r="H26" s="93">
        <f t="shared" si="0"/>
        <v>100</v>
      </c>
      <c r="I26" s="70"/>
      <c r="J26" s="72"/>
    </row>
    <row r="27" spans="1:9" s="46" customFormat="1" ht="25.5">
      <c r="A27" s="32" t="s">
        <v>33</v>
      </c>
      <c r="B27" s="17" t="s">
        <v>124</v>
      </c>
      <c r="C27" s="93">
        <v>291408</v>
      </c>
      <c r="D27" s="93">
        <v>291408</v>
      </c>
      <c r="E27" s="93">
        <v>16632.2</v>
      </c>
      <c r="F27" s="93">
        <v>291408</v>
      </c>
      <c r="G27" s="93">
        <v>159229.8</v>
      </c>
      <c r="H27" s="93">
        <f t="shared" si="0"/>
        <v>54.641533520013176</v>
      </c>
      <c r="I27" s="70"/>
    </row>
    <row r="28" spans="1:10" s="46" customFormat="1" ht="18" customHeight="1">
      <c r="A28" s="32" t="s">
        <v>34</v>
      </c>
      <c r="B28" s="17" t="s">
        <v>125</v>
      </c>
      <c r="C28" s="93">
        <v>306</v>
      </c>
      <c r="D28" s="93">
        <v>306</v>
      </c>
      <c r="E28" s="93">
        <v>830</v>
      </c>
      <c r="F28" s="93">
        <v>306</v>
      </c>
      <c r="G28" s="93">
        <v>830</v>
      </c>
      <c r="H28" s="93">
        <f t="shared" si="0"/>
        <v>271.24183006535947</v>
      </c>
      <c r="I28" s="70"/>
      <c r="J28" s="72"/>
    </row>
    <row r="29" spans="1:12" s="46" customFormat="1" ht="19.5" customHeight="1">
      <c r="A29" s="32" t="s">
        <v>35</v>
      </c>
      <c r="B29" s="17" t="s">
        <v>126</v>
      </c>
      <c r="C29" s="93">
        <v>165368</v>
      </c>
      <c r="D29" s="93">
        <v>165368</v>
      </c>
      <c r="E29" s="93">
        <v>121659.2</v>
      </c>
      <c r="F29" s="93">
        <v>165368</v>
      </c>
      <c r="G29" s="93">
        <v>165368</v>
      </c>
      <c r="H29" s="93">
        <f t="shared" si="0"/>
        <v>100</v>
      </c>
      <c r="I29" s="87"/>
      <c r="J29" s="87"/>
      <c r="K29" s="88"/>
      <c r="L29" s="88"/>
    </row>
    <row r="30" spans="1:12" s="46" customFormat="1" ht="23.25" customHeight="1">
      <c r="A30" s="32" t="s">
        <v>36</v>
      </c>
      <c r="B30" s="17" t="s">
        <v>127</v>
      </c>
      <c r="C30" s="93">
        <v>0</v>
      </c>
      <c r="D30" s="93">
        <v>0</v>
      </c>
      <c r="E30" s="93">
        <v>13</v>
      </c>
      <c r="F30" s="93">
        <v>0</v>
      </c>
      <c r="G30" s="93">
        <v>13</v>
      </c>
      <c r="H30" s="93"/>
      <c r="I30" s="87"/>
      <c r="J30" s="87"/>
      <c r="K30" s="88"/>
      <c r="L30" s="88"/>
    </row>
    <row r="31" spans="1:12" s="46" customFormat="1" ht="15" customHeight="1">
      <c r="A31" s="32" t="s">
        <v>30</v>
      </c>
      <c r="B31" s="17" t="s">
        <v>114</v>
      </c>
      <c r="C31" s="93">
        <f>SUM(C32:C42)</f>
        <v>9832366.200000001</v>
      </c>
      <c r="D31" s="93">
        <f>SUM(D32:D42)</f>
        <v>10406410.487160001</v>
      </c>
      <c r="E31" s="93">
        <f>SUM(E32:E42)</f>
        <v>7559623.043559999</v>
      </c>
      <c r="F31" s="93">
        <f>SUM(F32:F42)</f>
        <v>10588754.487160001</v>
      </c>
      <c r="G31" s="93">
        <f>SUM(G32:G42)</f>
        <v>10588754.487160001</v>
      </c>
      <c r="H31" s="93">
        <f t="shared" si="0"/>
        <v>100</v>
      </c>
      <c r="I31" s="87"/>
      <c r="J31" s="89"/>
      <c r="K31" s="88"/>
      <c r="L31" s="88"/>
    </row>
    <row r="32" spans="1:12" s="47" customFormat="1" ht="28.5" customHeight="1">
      <c r="A32" s="33" t="s">
        <v>31</v>
      </c>
      <c r="B32" s="18" t="s">
        <v>112</v>
      </c>
      <c r="C32" s="12">
        <v>6348363.7</v>
      </c>
      <c r="D32" s="12">
        <f>6025779700/1000</f>
        <v>6025779.7</v>
      </c>
      <c r="E32" s="12">
        <v>4519334.699999999</v>
      </c>
      <c r="F32" s="12">
        <v>6025779.7</v>
      </c>
      <c r="G32" s="12">
        <v>6025779.7</v>
      </c>
      <c r="H32" s="93">
        <f t="shared" si="0"/>
        <v>100</v>
      </c>
      <c r="I32" s="87"/>
      <c r="J32" s="84"/>
      <c r="K32" s="90"/>
      <c r="L32" s="90"/>
    </row>
    <row r="33" spans="1:12" s="47" customFormat="1" ht="28.5" customHeight="1">
      <c r="A33" s="33" t="s">
        <v>217</v>
      </c>
      <c r="B33" s="18" t="s">
        <v>218</v>
      </c>
      <c r="C33" s="12">
        <v>0</v>
      </c>
      <c r="D33" s="12">
        <f>126577000/1000</f>
        <v>126577</v>
      </c>
      <c r="E33" s="12">
        <v>126577</v>
      </c>
      <c r="F33" s="12">
        <v>126577</v>
      </c>
      <c r="G33" s="12">
        <v>126577</v>
      </c>
      <c r="H33" s="93">
        <f>+G33/F33*100</f>
        <v>100</v>
      </c>
      <c r="I33" s="87"/>
      <c r="J33" s="84"/>
      <c r="K33" s="90"/>
      <c r="L33" s="90"/>
    </row>
    <row r="34" spans="1:10" s="47" customFormat="1" ht="54.75" customHeight="1">
      <c r="A34" s="33" t="s">
        <v>215</v>
      </c>
      <c r="B34" s="18" t="s">
        <v>216</v>
      </c>
      <c r="C34" s="12">
        <v>0</v>
      </c>
      <c r="D34" s="12">
        <f>322584000/1000</f>
        <v>322584</v>
      </c>
      <c r="E34" s="12">
        <v>241938</v>
      </c>
      <c r="F34" s="12">
        <v>322584</v>
      </c>
      <c r="G34" s="12">
        <v>322584</v>
      </c>
      <c r="H34" s="93">
        <f>+G34/F34*100</f>
        <v>100</v>
      </c>
      <c r="I34" s="70"/>
      <c r="J34" s="76"/>
    </row>
    <row r="35" spans="1:10" s="47" customFormat="1" ht="54.75" customHeight="1">
      <c r="A35" s="33" t="s">
        <v>228</v>
      </c>
      <c r="B35" s="18" t="s">
        <v>229</v>
      </c>
      <c r="C35" s="12">
        <v>0</v>
      </c>
      <c r="D35" s="12">
        <v>0</v>
      </c>
      <c r="E35" s="12">
        <v>182344</v>
      </c>
      <c r="F35" s="12">
        <v>182344</v>
      </c>
      <c r="G35" s="12">
        <v>182344</v>
      </c>
      <c r="H35" s="93">
        <f>+G35/F35*100</f>
        <v>100</v>
      </c>
      <c r="I35" s="70"/>
      <c r="J35" s="76"/>
    </row>
    <row r="36" spans="1:10" s="47" customFormat="1" ht="115.5" customHeight="1">
      <c r="A36" s="33" t="s">
        <v>226</v>
      </c>
      <c r="B36" s="104" t="s">
        <v>227</v>
      </c>
      <c r="C36" s="12">
        <v>0</v>
      </c>
      <c r="D36" s="12">
        <v>55000</v>
      </c>
      <c r="E36" s="12">
        <v>0</v>
      </c>
      <c r="F36" s="12">
        <v>55000</v>
      </c>
      <c r="G36" s="12">
        <v>55000</v>
      </c>
      <c r="H36" s="93">
        <f>+G36/F36*100</f>
        <v>100</v>
      </c>
      <c r="I36" s="70"/>
      <c r="J36" s="76"/>
    </row>
    <row r="37" spans="1:10" s="47" customFormat="1" ht="39.75" customHeight="1">
      <c r="A37" s="33" t="s">
        <v>207</v>
      </c>
      <c r="B37" s="18" t="s">
        <v>181</v>
      </c>
      <c r="C37" s="94">
        <v>2172659.0999999996</v>
      </c>
      <c r="D37" s="12">
        <v>1925755.2</v>
      </c>
      <c r="E37" s="12">
        <v>1382464.0733999999</v>
      </c>
      <c r="F37" s="12">
        <v>1925755.1999999997</v>
      </c>
      <c r="G37" s="12">
        <v>1925755.1999999997</v>
      </c>
      <c r="H37" s="93">
        <f t="shared" si="0"/>
        <v>100</v>
      </c>
      <c r="I37" s="70"/>
      <c r="J37" s="76"/>
    </row>
    <row r="38" spans="1:10" s="47" customFormat="1" ht="27" customHeight="1">
      <c r="A38" s="33" t="s">
        <v>208</v>
      </c>
      <c r="B38" s="18" t="s">
        <v>113</v>
      </c>
      <c r="C38" s="12">
        <v>1278604.1</v>
      </c>
      <c r="D38" s="12">
        <v>1475729.0000000002</v>
      </c>
      <c r="E38" s="12">
        <v>931019.7601300002</v>
      </c>
      <c r="F38" s="12">
        <v>1475729</v>
      </c>
      <c r="G38" s="12">
        <v>1475729</v>
      </c>
      <c r="H38" s="93">
        <f t="shared" si="0"/>
        <v>100</v>
      </c>
      <c r="I38" s="70"/>
      <c r="J38" s="76"/>
    </row>
    <row r="39" spans="1:10" s="47" customFormat="1" ht="14.25" customHeight="1">
      <c r="A39" s="33" t="s">
        <v>209</v>
      </c>
      <c r="B39" s="18" t="s">
        <v>95</v>
      </c>
      <c r="C39" s="12">
        <v>32739.3</v>
      </c>
      <c r="D39" s="12">
        <v>474985.58715999994</v>
      </c>
      <c r="E39" s="12">
        <v>279303.66967</v>
      </c>
      <c r="F39" s="12">
        <v>474985.58716</v>
      </c>
      <c r="G39" s="12">
        <v>474985.58716</v>
      </c>
      <c r="H39" s="93">
        <f t="shared" si="0"/>
        <v>100</v>
      </c>
      <c r="I39" s="70"/>
      <c r="J39" s="76"/>
    </row>
    <row r="40" spans="1:10" s="47" customFormat="1" ht="42.75" customHeight="1">
      <c r="A40" s="32" t="s">
        <v>200</v>
      </c>
      <c r="B40" s="19" t="s">
        <v>169</v>
      </c>
      <c r="C40" s="93">
        <v>0</v>
      </c>
      <c r="D40" s="97">
        <v>0</v>
      </c>
      <c r="E40" s="97">
        <v>0</v>
      </c>
      <c r="F40" s="93">
        <v>0</v>
      </c>
      <c r="G40" s="93">
        <v>0</v>
      </c>
      <c r="H40" s="93"/>
      <c r="I40" s="70"/>
      <c r="J40" s="76"/>
    </row>
    <row r="41" spans="1:10" s="47" customFormat="1" ht="63.75">
      <c r="A41" s="32" t="s">
        <v>202</v>
      </c>
      <c r="B41" s="19" t="s">
        <v>168</v>
      </c>
      <c r="C41" s="93">
        <v>0</v>
      </c>
      <c r="D41" s="93">
        <v>0</v>
      </c>
      <c r="E41" s="97">
        <v>1213.1752900000001</v>
      </c>
      <c r="F41" s="93">
        <v>0</v>
      </c>
      <c r="G41" s="93">
        <v>0</v>
      </c>
      <c r="H41" s="93"/>
      <c r="I41" s="70"/>
      <c r="J41" s="76"/>
    </row>
    <row r="42" spans="1:11" s="47" customFormat="1" ht="41.25" customHeight="1">
      <c r="A42" s="32" t="s">
        <v>201</v>
      </c>
      <c r="B42" s="19" t="s">
        <v>170</v>
      </c>
      <c r="C42" s="93">
        <v>0</v>
      </c>
      <c r="D42" s="93">
        <v>0</v>
      </c>
      <c r="E42" s="97">
        <v>-104571.33493000001</v>
      </c>
      <c r="F42" s="93">
        <v>0</v>
      </c>
      <c r="G42" s="93">
        <v>0</v>
      </c>
      <c r="H42" s="93"/>
      <c r="I42" s="70"/>
      <c r="J42" s="77"/>
      <c r="K42" s="48"/>
    </row>
    <row r="43" spans="1:11" s="48" customFormat="1" ht="21" customHeight="1">
      <c r="A43" s="29"/>
      <c r="B43" s="14" t="s">
        <v>128</v>
      </c>
      <c r="C43" s="95">
        <f>C31+C8</f>
        <v>24900036.8</v>
      </c>
      <c r="D43" s="95">
        <f>D31+D8</f>
        <v>25918881.08716</v>
      </c>
      <c r="E43" s="95">
        <f>E31+E8</f>
        <v>18280070.14356</v>
      </c>
      <c r="F43" s="95">
        <f>F31+F8</f>
        <v>26101225.08716</v>
      </c>
      <c r="G43" s="95">
        <f>G31+G8</f>
        <v>25971972.087160002</v>
      </c>
      <c r="H43" s="93">
        <f t="shared" si="0"/>
        <v>99.50480102152915</v>
      </c>
      <c r="I43" s="70"/>
      <c r="J43" s="75"/>
      <c r="K43" s="47"/>
    </row>
    <row r="44" spans="1:8" ht="18" customHeight="1">
      <c r="A44" s="34"/>
      <c r="B44" s="20" t="s">
        <v>111</v>
      </c>
      <c r="C44" s="96"/>
      <c r="D44" s="105"/>
      <c r="E44" s="95"/>
      <c r="F44" s="95"/>
      <c r="G44" s="93"/>
      <c r="H44" s="93"/>
    </row>
    <row r="45" spans="1:11" s="49" customFormat="1" ht="15">
      <c r="A45" s="35" t="s">
        <v>41</v>
      </c>
      <c r="B45" s="21" t="s">
        <v>0</v>
      </c>
      <c r="C45" s="97">
        <f>SUM(C46:C54)</f>
        <v>2390505.385</v>
      </c>
      <c r="D45" s="97">
        <f>SUM(D46:D54)</f>
        <v>1838551.9171000002</v>
      </c>
      <c r="E45" s="97">
        <f>SUM(E46:E54)</f>
        <v>1248091.64988</v>
      </c>
      <c r="F45" s="97">
        <f>SUM(F46:F54)</f>
        <v>2134920.05368</v>
      </c>
      <c r="G45" s="97">
        <f>SUM(G46:G54)</f>
        <v>2005667.05368</v>
      </c>
      <c r="H45" s="93">
        <f t="shared" si="0"/>
        <v>93.94576861193447</v>
      </c>
      <c r="I45" s="41"/>
      <c r="J45" s="41"/>
      <c r="K45" s="41"/>
    </row>
    <row r="46" spans="1:10" ht="38.25">
      <c r="A46" s="36" t="s">
        <v>42</v>
      </c>
      <c r="B46" s="16" t="s">
        <v>132</v>
      </c>
      <c r="C46" s="98">
        <v>3941</v>
      </c>
      <c r="D46" s="101">
        <f>3941000/1000</f>
        <v>3941</v>
      </c>
      <c r="E46" s="101">
        <f>2846896.65/1000</f>
        <v>2846.8966499999997</v>
      </c>
      <c r="F46" s="101">
        <v>4013.5</v>
      </c>
      <c r="G46" s="101">
        <v>4013.5</v>
      </c>
      <c r="H46" s="93">
        <f t="shared" si="0"/>
        <v>100</v>
      </c>
      <c r="I46" s="70"/>
      <c r="J46" s="56"/>
    </row>
    <row r="47" spans="1:10" ht="51">
      <c r="A47" s="36" t="s">
        <v>43</v>
      </c>
      <c r="B47" s="16" t="s">
        <v>133</v>
      </c>
      <c r="C47" s="98">
        <v>50159</v>
      </c>
      <c r="D47" s="101">
        <f>57346287.16/1000</f>
        <v>57346.28716</v>
      </c>
      <c r="E47" s="101">
        <f>41410448.23/1000</f>
        <v>41410.448229999995</v>
      </c>
      <c r="F47" s="101">
        <v>57346.28716</v>
      </c>
      <c r="G47" s="101">
        <v>57346.28716</v>
      </c>
      <c r="H47" s="93">
        <f t="shared" si="0"/>
        <v>100</v>
      </c>
      <c r="I47" s="70"/>
      <c r="J47" s="56"/>
    </row>
    <row r="48" spans="1:10" ht="63.75">
      <c r="A48" s="36" t="s">
        <v>1</v>
      </c>
      <c r="B48" s="16" t="s">
        <v>134</v>
      </c>
      <c r="C48" s="98">
        <v>126951.5</v>
      </c>
      <c r="D48" s="101">
        <f>128524283.8/1000</f>
        <v>128524.28379999999</v>
      </c>
      <c r="E48" s="101">
        <f>89860113.97/1000</f>
        <v>89860.11397</v>
      </c>
      <c r="F48" s="101">
        <v>128679.37980000001</v>
      </c>
      <c r="G48" s="101">
        <v>128679.37980000001</v>
      </c>
      <c r="H48" s="93">
        <f t="shared" si="0"/>
        <v>100</v>
      </c>
      <c r="I48" s="70"/>
      <c r="J48" s="56"/>
    </row>
    <row r="49" spans="1:10" ht="15">
      <c r="A49" s="36" t="s">
        <v>44</v>
      </c>
      <c r="B49" s="16" t="s">
        <v>135</v>
      </c>
      <c r="C49" s="98">
        <v>87527.8</v>
      </c>
      <c r="D49" s="101">
        <f>89405819.15/1000</f>
        <v>89405.81915000001</v>
      </c>
      <c r="E49" s="101">
        <f>64558515.42/1000</f>
        <v>64558.51542</v>
      </c>
      <c r="F49" s="101">
        <v>89405.81915</v>
      </c>
      <c r="G49" s="101">
        <v>89405.81915</v>
      </c>
      <c r="H49" s="93">
        <f t="shared" si="0"/>
        <v>100</v>
      </c>
      <c r="I49" s="70"/>
      <c r="J49" s="56"/>
    </row>
    <row r="50" spans="1:11" ht="41.25" customHeight="1">
      <c r="A50" s="36" t="s">
        <v>45</v>
      </c>
      <c r="B50" s="16" t="s">
        <v>136</v>
      </c>
      <c r="C50" s="98">
        <v>71315</v>
      </c>
      <c r="D50" s="101">
        <f>71773805.76/1000</f>
        <v>71773.80576</v>
      </c>
      <c r="E50" s="101">
        <f>49126636.78/1000</f>
        <v>49126.63678</v>
      </c>
      <c r="F50" s="101">
        <v>71773.80576</v>
      </c>
      <c r="G50" s="101">
        <v>71773.80576</v>
      </c>
      <c r="H50" s="93">
        <f t="shared" si="0"/>
        <v>100</v>
      </c>
      <c r="I50" s="42"/>
      <c r="J50" s="42"/>
      <c r="K50" s="42"/>
    </row>
    <row r="51" spans="1:11" ht="25.5">
      <c r="A51" s="36" t="s">
        <v>2</v>
      </c>
      <c r="B51" s="16" t="s">
        <v>3</v>
      </c>
      <c r="C51" s="98">
        <v>17086</v>
      </c>
      <c r="D51" s="101">
        <f>20086000/1000</f>
        <v>20086</v>
      </c>
      <c r="E51" s="101">
        <f>15766336.75/1000</f>
        <v>15766.33675</v>
      </c>
      <c r="F51" s="101">
        <v>20086</v>
      </c>
      <c r="G51" s="101">
        <v>20086</v>
      </c>
      <c r="H51" s="93">
        <f t="shared" si="0"/>
        <v>100</v>
      </c>
      <c r="I51" s="42"/>
      <c r="J51" s="42"/>
      <c r="K51" s="42"/>
    </row>
    <row r="52" spans="1:11" ht="15">
      <c r="A52" s="36" t="s">
        <v>97</v>
      </c>
      <c r="B52" s="16" t="s">
        <v>68</v>
      </c>
      <c r="C52" s="98">
        <v>100000</v>
      </c>
      <c r="D52" s="101">
        <f>15262445/1000</f>
        <v>15262.445</v>
      </c>
      <c r="E52" s="101">
        <v>0</v>
      </c>
      <c r="F52" s="101">
        <v>130000</v>
      </c>
      <c r="G52" s="101">
        <v>130000</v>
      </c>
      <c r="H52" s="93">
        <f t="shared" si="0"/>
        <v>100</v>
      </c>
      <c r="I52" s="42"/>
      <c r="J52" s="42"/>
      <c r="K52" s="42"/>
    </row>
    <row r="53" spans="1:11" ht="15" customHeight="1">
      <c r="A53" s="36" t="s">
        <v>4</v>
      </c>
      <c r="B53" s="16" t="s">
        <v>6</v>
      </c>
      <c r="C53" s="98">
        <v>23051.3</v>
      </c>
      <c r="D53" s="101">
        <f>28849739/1000</f>
        <v>28849.739</v>
      </c>
      <c r="E53" s="101">
        <f>25267675/1000</f>
        <v>25267.675</v>
      </c>
      <c r="F53" s="101">
        <v>28849.739</v>
      </c>
      <c r="G53" s="101">
        <v>28849.739</v>
      </c>
      <c r="H53" s="93">
        <f t="shared" si="0"/>
        <v>100</v>
      </c>
      <c r="I53" s="42"/>
      <c r="J53" s="42"/>
      <c r="K53" s="42"/>
    </row>
    <row r="54" spans="1:11" ht="17.25" customHeight="1">
      <c r="A54" s="36" t="s">
        <v>5</v>
      </c>
      <c r="B54" s="16" t="s">
        <v>7</v>
      </c>
      <c r="C54" s="98">
        <v>1910473.785</v>
      </c>
      <c r="D54" s="101">
        <f>1423362537.23/1000</f>
        <v>1423362.5372300001</v>
      </c>
      <c r="E54" s="101">
        <f>959255027.08/1000</f>
        <v>959255.02708</v>
      </c>
      <c r="F54" s="101">
        <v>1604765.52281</v>
      </c>
      <c r="G54" s="101">
        <f>1604765.52281-129253</f>
        <v>1475512.52281</v>
      </c>
      <c r="H54" s="93">
        <f t="shared" si="0"/>
        <v>91.94567691274464</v>
      </c>
      <c r="I54" s="107"/>
      <c r="J54" s="42"/>
      <c r="K54" s="42"/>
    </row>
    <row r="55" spans="1:11" s="51" customFormat="1" ht="15">
      <c r="A55" s="37" t="s">
        <v>175</v>
      </c>
      <c r="B55" s="22" t="s">
        <v>183</v>
      </c>
      <c r="C55" s="99">
        <f>C56</f>
        <v>14237.2</v>
      </c>
      <c r="D55" s="99">
        <f>D56</f>
        <v>16125.7</v>
      </c>
      <c r="E55" s="99">
        <f>E56</f>
        <v>12111.21981</v>
      </c>
      <c r="F55" s="99">
        <f>F56</f>
        <v>16125.7</v>
      </c>
      <c r="G55" s="99">
        <f>G56</f>
        <v>16125.7</v>
      </c>
      <c r="H55" s="93">
        <f t="shared" si="0"/>
        <v>100</v>
      </c>
      <c r="I55" s="42"/>
      <c r="J55" s="42"/>
      <c r="K55" s="42"/>
    </row>
    <row r="56" spans="1:11" ht="25.5">
      <c r="A56" s="37" t="s">
        <v>176</v>
      </c>
      <c r="B56" s="22" t="s">
        <v>137</v>
      </c>
      <c r="C56" s="100">
        <v>14237.2</v>
      </c>
      <c r="D56" s="101">
        <f>16125700/1000</f>
        <v>16125.7</v>
      </c>
      <c r="E56" s="101">
        <f>12111219.81/1000</f>
        <v>12111.21981</v>
      </c>
      <c r="F56" s="101">
        <v>16125.7</v>
      </c>
      <c r="G56" s="101">
        <v>16125.7</v>
      </c>
      <c r="H56" s="93">
        <f t="shared" si="0"/>
        <v>100</v>
      </c>
      <c r="I56" s="42"/>
      <c r="J56" s="42"/>
      <c r="K56" s="42"/>
    </row>
    <row r="57" spans="1:11" s="49" customFormat="1" ht="25.5">
      <c r="A57" s="37" t="s">
        <v>8</v>
      </c>
      <c r="B57" s="22" t="s">
        <v>184</v>
      </c>
      <c r="C57" s="99">
        <f>C58+C59+C60+C62</f>
        <v>401219.5</v>
      </c>
      <c r="D57" s="99">
        <f>D58+D59+D60+D62+D61</f>
        <v>433700.80939999997</v>
      </c>
      <c r="E57" s="99">
        <f>E58+E59+E60+E62+E61</f>
        <v>320411.1349</v>
      </c>
      <c r="F57" s="99">
        <f>F58+F59+F60+F62+F61</f>
        <v>432200.80939999997</v>
      </c>
      <c r="G57" s="99">
        <f>G58+G59+G60+G62+G61</f>
        <v>432200.80939999997</v>
      </c>
      <c r="H57" s="93">
        <f t="shared" si="0"/>
        <v>100</v>
      </c>
      <c r="I57" s="42"/>
      <c r="J57" s="42"/>
      <c r="K57" s="42"/>
    </row>
    <row r="58" spans="1:11" ht="15">
      <c r="A58" s="37" t="s">
        <v>179</v>
      </c>
      <c r="B58" s="22" t="s">
        <v>180</v>
      </c>
      <c r="C58" s="101">
        <v>75415.5</v>
      </c>
      <c r="D58" s="101">
        <f>79203200/1000</f>
        <v>79203.2</v>
      </c>
      <c r="E58" s="101">
        <f>52098642.68/1000</f>
        <v>52098.64268</v>
      </c>
      <c r="F58" s="101">
        <v>79203.2</v>
      </c>
      <c r="G58" s="101">
        <v>79203.2</v>
      </c>
      <c r="H58" s="93">
        <f t="shared" si="0"/>
        <v>100</v>
      </c>
      <c r="I58" s="42"/>
      <c r="J58" s="42"/>
      <c r="K58" s="42"/>
    </row>
    <row r="59" spans="1:11" ht="51">
      <c r="A59" s="37" t="s">
        <v>9</v>
      </c>
      <c r="B59" s="22" t="s">
        <v>138</v>
      </c>
      <c r="C59" s="101">
        <v>125762</v>
      </c>
      <c r="D59" s="101">
        <f>142063557.55/1000</f>
        <v>142063.55755</v>
      </c>
      <c r="E59" s="101">
        <f>105895900.52/1000</f>
        <v>105895.90052</v>
      </c>
      <c r="F59" s="101">
        <v>141663.55755</v>
      </c>
      <c r="G59" s="101">
        <v>141663.55755</v>
      </c>
      <c r="H59" s="93">
        <f t="shared" si="0"/>
        <v>100</v>
      </c>
      <c r="I59" s="42"/>
      <c r="J59" s="42"/>
      <c r="K59" s="42"/>
    </row>
    <row r="60" spans="1:11" ht="15">
      <c r="A60" s="37" t="s">
        <v>10</v>
      </c>
      <c r="B60" s="22" t="s">
        <v>130</v>
      </c>
      <c r="C60" s="101">
        <v>200042</v>
      </c>
      <c r="D60" s="101">
        <f>201142000/1000</f>
        <v>201142</v>
      </c>
      <c r="E60" s="101">
        <f>151190639.85/1000</f>
        <v>151190.63985</v>
      </c>
      <c r="F60" s="101">
        <v>200042</v>
      </c>
      <c r="G60" s="101">
        <v>200042</v>
      </c>
      <c r="H60" s="93">
        <f t="shared" si="0"/>
        <v>100</v>
      </c>
      <c r="I60" s="42"/>
      <c r="J60" s="42"/>
      <c r="K60" s="42"/>
    </row>
    <row r="61" spans="1:11" ht="15">
      <c r="A61" s="37" t="s">
        <v>219</v>
      </c>
      <c r="B61" s="86" t="s">
        <v>220</v>
      </c>
      <c r="C61" s="101">
        <v>0</v>
      </c>
      <c r="D61" s="101">
        <f>147100/1000</f>
        <v>147.1</v>
      </c>
      <c r="E61" s="101">
        <f>81000/1000</f>
        <v>81</v>
      </c>
      <c r="F61" s="101">
        <v>147.10000000000002</v>
      </c>
      <c r="G61" s="101">
        <v>147.10000000000002</v>
      </c>
      <c r="H61" s="93"/>
      <c r="I61" s="42"/>
      <c r="J61" s="42"/>
      <c r="K61" s="42"/>
    </row>
    <row r="62" spans="1:11" ht="38.25">
      <c r="A62" s="37" t="s">
        <v>98</v>
      </c>
      <c r="B62" s="22" t="s">
        <v>89</v>
      </c>
      <c r="C62" s="101">
        <v>0</v>
      </c>
      <c r="D62" s="101">
        <f>11144951.85/1000</f>
        <v>11144.95185</v>
      </c>
      <c r="E62" s="101">
        <f>11144951.85/1000</f>
        <v>11144.95185</v>
      </c>
      <c r="F62" s="101">
        <v>11144.95185</v>
      </c>
      <c r="G62" s="101">
        <v>11144.95185</v>
      </c>
      <c r="H62" s="93">
        <f t="shared" si="0"/>
        <v>100</v>
      </c>
      <c r="I62" s="42"/>
      <c r="J62" s="42"/>
      <c r="K62" s="42"/>
    </row>
    <row r="63" spans="1:11" ht="15">
      <c r="A63" s="37" t="s">
        <v>11</v>
      </c>
      <c r="B63" s="22" t="s">
        <v>185</v>
      </c>
      <c r="C63" s="99">
        <f>SUM(C64:C72)</f>
        <v>4418938.05</v>
      </c>
      <c r="D63" s="99">
        <f>D64+D65+D66+D67+D68+D69+D70+D71+D72</f>
        <v>4052627.06086</v>
      </c>
      <c r="E63" s="99">
        <f>E64+E65+E66+E67+E68+E69+E70+E71+E72</f>
        <v>2885228.6179799996</v>
      </c>
      <c r="F63" s="99">
        <f>F64+F65+F66+F67+F68+F69+F70+F71+F72</f>
        <v>4032790.4792800006</v>
      </c>
      <c r="G63" s="99">
        <f>G64+G65+G66+G67+G68+G69+G70+G71+G72</f>
        <v>4032790.4792800006</v>
      </c>
      <c r="H63" s="93">
        <f t="shared" si="0"/>
        <v>100</v>
      </c>
      <c r="I63" s="42"/>
      <c r="J63" s="42"/>
      <c r="K63" s="42"/>
    </row>
    <row r="64" spans="1:11" s="51" customFormat="1" ht="15">
      <c r="A64" s="37" t="s">
        <v>12</v>
      </c>
      <c r="B64" s="22" t="s">
        <v>13</v>
      </c>
      <c r="C64" s="101">
        <v>143550.2</v>
      </c>
      <c r="D64" s="101">
        <f>141452875.92/1000</f>
        <v>141452.87592</v>
      </c>
      <c r="E64" s="101">
        <f>102797505.58/1000</f>
        <v>102797.50558</v>
      </c>
      <c r="F64" s="101">
        <v>141452.87592000002</v>
      </c>
      <c r="G64" s="101">
        <v>141452.87592000002</v>
      </c>
      <c r="H64" s="93">
        <f t="shared" si="0"/>
        <v>100</v>
      </c>
      <c r="I64" s="42"/>
      <c r="J64" s="42"/>
      <c r="K64" s="42"/>
    </row>
    <row r="65" spans="1:11" ht="15">
      <c r="A65" s="37" t="s">
        <v>14</v>
      </c>
      <c r="B65" s="22" t="s">
        <v>186</v>
      </c>
      <c r="C65" s="101">
        <v>800</v>
      </c>
      <c r="D65" s="101">
        <f>800000/1000</f>
        <v>800</v>
      </c>
      <c r="E65" s="101">
        <f>451947.31/1000</f>
        <v>451.94731</v>
      </c>
      <c r="F65" s="101">
        <v>800</v>
      </c>
      <c r="G65" s="101">
        <v>800</v>
      </c>
      <c r="H65" s="93">
        <f t="shared" si="0"/>
        <v>100</v>
      </c>
      <c r="I65" s="42"/>
      <c r="J65" s="42"/>
      <c r="K65" s="42"/>
    </row>
    <row r="66" spans="1:11" ht="15">
      <c r="A66" s="37" t="s">
        <v>15</v>
      </c>
      <c r="B66" s="22" t="s">
        <v>16</v>
      </c>
      <c r="C66" s="101">
        <v>1444981.5</v>
      </c>
      <c r="D66" s="101">
        <f>1149762745.14/1000</f>
        <v>1149762.74514</v>
      </c>
      <c r="E66" s="101">
        <f>1037997490.68/1000</f>
        <v>1037997.4906799999</v>
      </c>
      <c r="F66" s="101">
        <v>1149762.74514</v>
      </c>
      <c r="G66" s="101">
        <v>1149762.74514</v>
      </c>
      <c r="H66" s="93">
        <f t="shared" si="0"/>
        <v>100</v>
      </c>
      <c r="I66" s="42"/>
      <c r="J66" s="42"/>
      <c r="K66" s="42"/>
    </row>
    <row r="67" spans="1:11" ht="15">
      <c r="A67" s="37" t="s">
        <v>17</v>
      </c>
      <c r="B67" s="22" t="s">
        <v>139</v>
      </c>
      <c r="C67" s="101">
        <v>39248.85</v>
      </c>
      <c r="D67" s="101">
        <f>39248850/1000</f>
        <v>39248.85</v>
      </c>
      <c r="E67" s="101">
        <f>26082725.4/1000</f>
        <v>26082.7254</v>
      </c>
      <c r="F67" s="101">
        <v>39248.85</v>
      </c>
      <c r="G67" s="101">
        <v>39248.85</v>
      </c>
      <c r="H67" s="93">
        <f t="shared" si="0"/>
        <v>100</v>
      </c>
      <c r="I67" s="42"/>
      <c r="J67" s="42"/>
      <c r="K67" s="42"/>
    </row>
    <row r="68" spans="1:11" ht="15">
      <c r="A68" s="37" t="s">
        <v>18</v>
      </c>
      <c r="B68" s="22" t="s">
        <v>19</v>
      </c>
      <c r="C68" s="101">
        <v>195908</v>
      </c>
      <c r="D68" s="101">
        <f>207438000/1000</f>
        <v>207438</v>
      </c>
      <c r="E68" s="101">
        <f>119894552.38/1000</f>
        <v>119894.55238</v>
      </c>
      <c r="F68" s="101">
        <v>207438</v>
      </c>
      <c r="G68" s="101">
        <v>207438</v>
      </c>
      <c r="H68" s="93">
        <f t="shared" si="0"/>
        <v>100</v>
      </c>
      <c r="I68" s="42"/>
      <c r="J68" s="42"/>
      <c r="K68" s="42"/>
    </row>
    <row r="69" spans="1:11" ht="15">
      <c r="A69" s="37" t="s">
        <v>20</v>
      </c>
      <c r="B69" s="22" t="s">
        <v>21</v>
      </c>
      <c r="C69" s="101">
        <v>48533</v>
      </c>
      <c r="D69" s="101">
        <f>70417600/1000</f>
        <v>70417.6</v>
      </c>
      <c r="E69" s="101">
        <f>33811789.19/1000</f>
        <v>33811.789189999996</v>
      </c>
      <c r="F69" s="101">
        <v>54117.6</v>
      </c>
      <c r="G69" s="101">
        <v>54117.6</v>
      </c>
      <c r="H69" s="93">
        <f t="shared" si="0"/>
        <v>100</v>
      </c>
      <c r="I69" s="42"/>
      <c r="J69" s="42"/>
      <c r="K69" s="42"/>
    </row>
    <row r="70" spans="1:11" ht="15">
      <c r="A70" s="37" t="s">
        <v>99</v>
      </c>
      <c r="B70" s="22" t="s">
        <v>140</v>
      </c>
      <c r="C70" s="101">
        <v>1935680.7</v>
      </c>
      <c r="D70" s="101">
        <f>2055722814/1000</f>
        <v>2055722.814</v>
      </c>
      <c r="E70" s="101">
        <f>1297129939.21/1000</f>
        <v>1297129.93921</v>
      </c>
      <c r="F70" s="101">
        <v>2055722.814</v>
      </c>
      <c r="G70" s="101">
        <v>2055722.814</v>
      </c>
      <c r="H70" s="93">
        <f t="shared" si="0"/>
        <v>100</v>
      </c>
      <c r="I70" s="42"/>
      <c r="J70" s="42"/>
      <c r="K70" s="42"/>
    </row>
    <row r="71" spans="1:11" ht="15">
      <c r="A71" s="37" t="s">
        <v>171</v>
      </c>
      <c r="B71" s="22" t="s">
        <v>172</v>
      </c>
      <c r="C71" s="101">
        <v>141994</v>
      </c>
      <c r="D71" s="101">
        <f>152884727.26/1000</f>
        <v>152884.72725999999</v>
      </c>
      <c r="E71" s="101">
        <f>113832925.96/1000</f>
        <v>113832.92596</v>
      </c>
      <c r="F71" s="101">
        <v>154084.72726</v>
      </c>
      <c r="G71" s="101">
        <v>154084.72726</v>
      </c>
      <c r="H71" s="93">
        <f t="shared" si="0"/>
        <v>100</v>
      </c>
      <c r="I71" s="42"/>
      <c r="J71" s="42"/>
      <c r="K71" s="42"/>
    </row>
    <row r="72" spans="1:11" ht="25.5">
      <c r="A72" s="37" t="s">
        <v>93</v>
      </c>
      <c r="B72" s="22" t="s">
        <v>141</v>
      </c>
      <c r="C72" s="101">
        <v>468241.8</v>
      </c>
      <c r="D72" s="101">
        <f>234899448.54/1000</f>
        <v>234899.44853999998</v>
      </c>
      <c r="E72" s="101">
        <f>153229742.27/1000</f>
        <v>153229.74227000002</v>
      </c>
      <c r="F72" s="101">
        <v>230162.86696</v>
      </c>
      <c r="G72" s="101">
        <v>230162.86696</v>
      </c>
      <c r="H72" s="93">
        <f t="shared" si="0"/>
        <v>100</v>
      </c>
      <c r="I72" s="42"/>
      <c r="J72" s="42"/>
      <c r="K72" s="42"/>
    </row>
    <row r="73" spans="1:11" ht="25.5">
      <c r="A73" s="37" t="s">
        <v>46</v>
      </c>
      <c r="B73" s="22" t="s">
        <v>187</v>
      </c>
      <c r="C73" s="99">
        <f>C74+C75+C76+C77</f>
        <v>1136066.87</v>
      </c>
      <c r="D73" s="99">
        <f>D74+D75+D76+D77</f>
        <v>1076390.2036700002</v>
      </c>
      <c r="E73" s="99">
        <f>E74+E75+E76+E77</f>
        <v>589343.84811</v>
      </c>
      <c r="F73" s="99">
        <f>F74+F75+F76+F77</f>
        <v>1073390.2036700002</v>
      </c>
      <c r="G73" s="99">
        <f>G74+G75+G76+G77</f>
        <v>1073390.2036700002</v>
      </c>
      <c r="H73" s="93">
        <f t="shared" si="0"/>
        <v>100</v>
      </c>
      <c r="I73" s="42"/>
      <c r="J73" s="42"/>
      <c r="K73" s="42"/>
    </row>
    <row r="74" spans="1:11" ht="15">
      <c r="A74" s="37" t="s">
        <v>48</v>
      </c>
      <c r="B74" s="22" t="s">
        <v>63</v>
      </c>
      <c r="C74" s="98">
        <v>17849.8</v>
      </c>
      <c r="D74" s="101">
        <f>59055576.48/1000</f>
        <v>59055.576479999996</v>
      </c>
      <c r="E74" s="101">
        <f>33327490.61/1000</f>
        <v>33327.49061</v>
      </c>
      <c r="F74" s="101">
        <v>59055.576479999996</v>
      </c>
      <c r="G74" s="101">
        <v>59055.576479999996</v>
      </c>
      <c r="H74" s="93">
        <f t="shared" si="0"/>
        <v>100</v>
      </c>
      <c r="I74" s="42"/>
      <c r="J74" s="42"/>
      <c r="K74" s="42"/>
    </row>
    <row r="75" spans="1:11" s="51" customFormat="1" ht="14.25" customHeight="1">
      <c r="A75" s="37" t="s">
        <v>22</v>
      </c>
      <c r="B75" s="22" t="s">
        <v>64</v>
      </c>
      <c r="C75" s="98">
        <v>924206.17</v>
      </c>
      <c r="D75" s="101">
        <f>768073727.19/1000</f>
        <v>768073.72719</v>
      </c>
      <c r="E75" s="101">
        <f>488412374.49/1000</f>
        <v>488412.37449</v>
      </c>
      <c r="F75" s="101">
        <v>765073.72719</v>
      </c>
      <c r="G75" s="101">
        <v>765073.72719</v>
      </c>
      <c r="H75" s="93">
        <f t="shared" si="0"/>
        <v>100</v>
      </c>
      <c r="I75" s="42"/>
      <c r="J75" s="42"/>
      <c r="K75" s="42"/>
    </row>
    <row r="76" spans="1:11" s="51" customFormat="1" ht="14.25" customHeight="1">
      <c r="A76" s="37" t="s">
        <v>205</v>
      </c>
      <c r="B76" s="22" t="s">
        <v>203</v>
      </c>
      <c r="C76" s="98">
        <v>149037.8</v>
      </c>
      <c r="D76" s="101">
        <f>204037800/1000</f>
        <v>204037.8</v>
      </c>
      <c r="E76" s="101">
        <f>34810102.96/1000</f>
        <v>34810.102960000004</v>
      </c>
      <c r="F76" s="101">
        <v>204037.8</v>
      </c>
      <c r="G76" s="101">
        <v>204037.8</v>
      </c>
      <c r="H76" s="93">
        <f t="shared" si="0"/>
        <v>100</v>
      </c>
      <c r="I76" s="42"/>
      <c r="J76" s="42"/>
      <c r="K76" s="42"/>
    </row>
    <row r="77" spans="1:11" ht="25.5">
      <c r="A77" s="37" t="s">
        <v>100</v>
      </c>
      <c r="B77" s="22" t="s">
        <v>142</v>
      </c>
      <c r="C77" s="98">
        <v>44973.1</v>
      </c>
      <c r="D77" s="101">
        <f>45223100/1000</f>
        <v>45223.1</v>
      </c>
      <c r="E77" s="101">
        <f>32793880.05/1000</f>
        <v>32793.88005</v>
      </c>
      <c r="F77" s="101">
        <v>45223.1</v>
      </c>
      <c r="G77" s="101">
        <v>45223.1</v>
      </c>
      <c r="H77" s="93">
        <f t="shared" si="0"/>
        <v>100</v>
      </c>
      <c r="I77" s="42"/>
      <c r="J77" s="42"/>
      <c r="K77" s="42"/>
    </row>
    <row r="78" spans="1:11" ht="15">
      <c r="A78" s="37" t="s">
        <v>47</v>
      </c>
      <c r="B78" s="22" t="s">
        <v>188</v>
      </c>
      <c r="C78" s="99">
        <f>C79+C81+C80</f>
        <v>41214.7</v>
      </c>
      <c r="D78" s="99">
        <f>D79+D81+D80</f>
        <v>26707.442450000002</v>
      </c>
      <c r="E78" s="99">
        <f>E79+E81+E80</f>
        <v>18504.06557</v>
      </c>
      <c r="F78" s="99">
        <f>F79+F81+F80</f>
        <v>26707.442449999995</v>
      </c>
      <c r="G78" s="99">
        <f>G79+G81+G80</f>
        <v>26707.442449999995</v>
      </c>
      <c r="H78" s="93">
        <f aca="true" t="shared" si="1" ref="H78:H117">+G78/F78*100</f>
        <v>100</v>
      </c>
      <c r="I78" s="42"/>
      <c r="J78" s="42"/>
      <c r="K78" s="42"/>
    </row>
    <row r="79" spans="1:11" ht="25.5">
      <c r="A79" s="37" t="s">
        <v>101</v>
      </c>
      <c r="B79" s="22" t="s">
        <v>102</v>
      </c>
      <c r="C79" s="98">
        <v>2050</v>
      </c>
      <c r="D79" s="101">
        <f>12635700/1000</f>
        <v>12635.7</v>
      </c>
      <c r="E79" s="101">
        <f>9149762.96/1000</f>
        <v>9149.76296</v>
      </c>
      <c r="F79" s="101">
        <v>12635.7</v>
      </c>
      <c r="G79" s="101">
        <v>12635.7</v>
      </c>
      <c r="H79" s="93">
        <f t="shared" si="1"/>
        <v>100</v>
      </c>
      <c r="I79" s="42"/>
      <c r="J79" s="42"/>
      <c r="K79" s="42"/>
    </row>
    <row r="80" spans="1:11" ht="25.5">
      <c r="A80" s="37" t="s">
        <v>210</v>
      </c>
      <c r="B80" s="22" t="s">
        <v>211</v>
      </c>
      <c r="C80" s="101">
        <v>43</v>
      </c>
      <c r="D80" s="101">
        <f>43000/1000</f>
        <v>43</v>
      </c>
      <c r="E80" s="101">
        <f>43000/1000</f>
        <v>43</v>
      </c>
      <c r="F80" s="101">
        <v>43</v>
      </c>
      <c r="G80" s="101">
        <v>43</v>
      </c>
      <c r="H80" s="93">
        <f t="shared" si="1"/>
        <v>100</v>
      </c>
      <c r="I80" s="42"/>
      <c r="J80" s="42"/>
      <c r="K80" s="42"/>
    </row>
    <row r="81" spans="1:11" ht="29.25" customHeight="1">
      <c r="A81" s="37" t="s">
        <v>131</v>
      </c>
      <c r="B81" s="22" t="s">
        <v>143</v>
      </c>
      <c r="C81" s="98">
        <v>39121.7</v>
      </c>
      <c r="D81" s="101">
        <f>14028742.45/1000</f>
        <v>14028.74245</v>
      </c>
      <c r="E81" s="101">
        <f>9311302.61/1000</f>
        <v>9311.302609999999</v>
      </c>
      <c r="F81" s="101">
        <v>14028.742449999996</v>
      </c>
      <c r="G81" s="101">
        <v>14028.742449999996</v>
      </c>
      <c r="H81" s="93">
        <f t="shared" si="1"/>
        <v>100</v>
      </c>
      <c r="I81" s="42"/>
      <c r="J81" s="42"/>
      <c r="K81" s="42"/>
    </row>
    <row r="82" spans="1:11" s="51" customFormat="1" ht="15">
      <c r="A82" s="37" t="s">
        <v>49</v>
      </c>
      <c r="B82" s="22" t="s">
        <v>189</v>
      </c>
      <c r="C82" s="99">
        <f>C83+C84+C85+C86+C87+C88+C89</f>
        <v>5685733.832079999</v>
      </c>
      <c r="D82" s="99">
        <f>D83+D84+D85+D86+D87+D88+D89</f>
        <v>5982106.160309999</v>
      </c>
      <c r="E82" s="99">
        <f>E83+E84+E85+E86+E87+E88+E89</f>
        <v>4765080.87387</v>
      </c>
      <c r="F82" s="99">
        <f>F83+F84+F85+F86+F87+F88+F89</f>
        <v>5976827.360309999</v>
      </c>
      <c r="G82" s="99">
        <f>G83+G84+G85+G86+G87+G88+G89</f>
        <v>5976827.360309999</v>
      </c>
      <c r="H82" s="93">
        <f t="shared" si="1"/>
        <v>100</v>
      </c>
      <c r="I82" s="42"/>
      <c r="J82" s="42"/>
      <c r="K82" s="42"/>
    </row>
    <row r="83" spans="1:11" ht="15">
      <c r="A83" s="37" t="s">
        <v>157</v>
      </c>
      <c r="B83" s="22" t="s">
        <v>144</v>
      </c>
      <c r="C83" s="98">
        <v>1383415.1</v>
      </c>
      <c r="D83" s="101">
        <f>1640074482.61/1000</f>
        <v>1640074.4826099998</v>
      </c>
      <c r="E83" s="101">
        <f>1192070216.28/1000</f>
        <v>1192070.21628</v>
      </c>
      <c r="F83" s="101">
        <v>1640074.48261</v>
      </c>
      <c r="G83" s="101">
        <v>1640074.48261</v>
      </c>
      <c r="H83" s="93">
        <f t="shared" si="1"/>
        <v>100</v>
      </c>
      <c r="I83" s="42"/>
      <c r="J83" s="42"/>
      <c r="K83" s="42"/>
    </row>
    <row r="84" spans="1:11" ht="15">
      <c r="A84" s="37" t="s">
        <v>23</v>
      </c>
      <c r="B84" s="22" t="s">
        <v>65</v>
      </c>
      <c r="C84" s="98">
        <v>3188648.6</v>
      </c>
      <c r="D84" s="101">
        <f>3181749907.76/1000</f>
        <v>3181749.9077600003</v>
      </c>
      <c r="E84" s="101">
        <f>2617978163.18/1000</f>
        <v>2617978.1631799997</v>
      </c>
      <c r="F84" s="101">
        <v>3178653.91176</v>
      </c>
      <c r="G84" s="101">
        <v>3178653.91176</v>
      </c>
      <c r="H84" s="93">
        <f t="shared" si="1"/>
        <v>100</v>
      </c>
      <c r="I84" s="42"/>
      <c r="J84" s="42"/>
      <c r="K84" s="42"/>
    </row>
    <row r="85" spans="1:11" ht="15">
      <c r="A85" s="37" t="s">
        <v>206</v>
      </c>
      <c r="B85" s="22" t="s">
        <v>204</v>
      </c>
      <c r="C85" s="98">
        <v>110045.56956</v>
      </c>
      <c r="D85" s="101">
        <f>111891569.56/1000</f>
        <v>111891.56956</v>
      </c>
      <c r="E85" s="101">
        <f>94744772.43/1000</f>
        <v>94744.77243000001</v>
      </c>
      <c r="F85" s="101">
        <v>112691.56956</v>
      </c>
      <c r="G85" s="101">
        <v>112691.56956</v>
      </c>
      <c r="H85" s="93">
        <f t="shared" si="1"/>
        <v>100</v>
      </c>
      <c r="I85" s="42"/>
      <c r="J85" s="42"/>
      <c r="K85" s="42"/>
    </row>
    <row r="86" spans="1:11" s="51" customFormat="1" ht="15">
      <c r="A86" s="37" t="s">
        <v>24</v>
      </c>
      <c r="B86" s="22" t="s">
        <v>145</v>
      </c>
      <c r="C86" s="98">
        <v>780052.05652</v>
      </c>
      <c r="D86" s="101">
        <f>811536000/1000</f>
        <v>811536</v>
      </c>
      <c r="E86" s="101">
        <f>672070368.3/1000</f>
        <v>672070.3683</v>
      </c>
      <c r="F86" s="101">
        <v>809198.7</v>
      </c>
      <c r="G86" s="101">
        <v>809198.7</v>
      </c>
      <c r="H86" s="93">
        <f t="shared" si="1"/>
        <v>100</v>
      </c>
      <c r="I86" s="42"/>
      <c r="J86" s="42"/>
      <c r="K86" s="42"/>
    </row>
    <row r="87" spans="1:11" ht="13.5" customHeight="1">
      <c r="A87" s="37" t="s">
        <v>50</v>
      </c>
      <c r="B87" s="22" t="s">
        <v>103</v>
      </c>
      <c r="C87" s="98">
        <v>15563.606</v>
      </c>
      <c r="D87" s="101">
        <f>21359350.95/1000</f>
        <v>21359.35095</v>
      </c>
      <c r="E87" s="101">
        <f>17057622.63/1000</f>
        <v>17057.622629999998</v>
      </c>
      <c r="F87" s="101">
        <v>21359.35095</v>
      </c>
      <c r="G87" s="101">
        <v>21359.35095</v>
      </c>
      <c r="H87" s="93">
        <f t="shared" si="1"/>
        <v>100</v>
      </c>
      <c r="I87" s="42"/>
      <c r="J87" s="42"/>
      <c r="K87" s="42"/>
    </row>
    <row r="88" spans="1:11" ht="15">
      <c r="A88" s="37" t="s">
        <v>51</v>
      </c>
      <c r="B88" s="22" t="s">
        <v>146</v>
      </c>
      <c r="C88" s="98">
        <v>45539.6</v>
      </c>
      <c r="D88" s="101">
        <f>52398049.43/1000</f>
        <v>52398.04943</v>
      </c>
      <c r="E88" s="101">
        <f>44805937.76/1000</f>
        <v>44805.93776</v>
      </c>
      <c r="F88" s="101">
        <v>53787.54543</v>
      </c>
      <c r="G88" s="101">
        <v>53787.54543</v>
      </c>
      <c r="H88" s="93">
        <f t="shared" si="1"/>
        <v>100</v>
      </c>
      <c r="I88" s="42"/>
      <c r="J88" s="42"/>
      <c r="K88" s="42"/>
    </row>
    <row r="89" spans="1:11" ht="15">
      <c r="A89" s="37" t="s">
        <v>69</v>
      </c>
      <c r="B89" s="22" t="s">
        <v>25</v>
      </c>
      <c r="C89" s="98">
        <v>162469.3</v>
      </c>
      <c r="D89" s="101">
        <f>163096800/1000</f>
        <v>163096.8</v>
      </c>
      <c r="E89" s="101">
        <f>126353793.29/1000</f>
        <v>126353.79329</v>
      </c>
      <c r="F89" s="101">
        <v>161061.8</v>
      </c>
      <c r="G89" s="101">
        <v>161061.8</v>
      </c>
      <c r="H89" s="93">
        <f t="shared" si="1"/>
        <v>100</v>
      </c>
      <c r="I89" s="42"/>
      <c r="J89" s="42"/>
      <c r="K89" s="42"/>
    </row>
    <row r="90" spans="1:11" ht="15">
      <c r="A90" s="37" t="s">
        <v>52</v>
      </c>
      <c r="B90" s="22" t="s">
        <v>190</v>
      </c>
      <c r="C90" s="99">
        <f>C91+C92</f>
        <v>726151.62492</v>
      </c>
      <c r="D90" s="99">
        <f>D91+D92</f>
        <v>770505.9326299999</v>
      </c>
      <c r="E90" s="99">
        <f>E91+E92</f>
        <v>599908.27119</v>
      </c>
      <c r="F90" s="99">
        <f>F91+F92</f>
        <v>768059.13263</v>
      </c>
      <c r="G90" s="99">
        <f>G91+G92</f>
        <v>768059.13263</v>
      </c>
      <c r="H90" s="93">
        <f t="shared" si="1"/>
        <v>100</v>
      </c>
      <c r="I90" s="42"/>
      <c r="J90" s="42"/>
      <c r="K90" s="42"/>
    </row>
    <row r="91" spans="1:11" ht="15">
      <c r="A91" s="37" t="s">
        <v>53</v>
      </c>
      <c r="B91" s="22" t="s">
        <v>147</v>
      </c>
      <c r="C91" s="98">
        <v>692090.52492</v>
      </c>
      <c r="D91" s="101">
        <f>737393747.18/1000</f>
        <v>737393.74718</v>
      </c>
      <c r="E91" s="101">
        <f>575365506.86/1000</f>
        <v>575365.50686</v>
      </c>
      <c r="F91" s="101">
        <v>734946.94718</v>
      </c>
      <c r="G91" s="101">
        <v>734946.94718</v>
      </c>
      <c r="H91" s="93">
        <f t="shared" si="1"/>
        <v>100</v>
      </c>
      <c r="I91" s="42"/>
      <c r="J91" s="42"/>
      <c r="K91" s="42"/>
    </row>
    <row r="92" spans="1:11" ht="25.5">
      <c r="A92" s="37" t="s">
        <v>26</v>
      </c>
      <c r="B92" s="22" t="s">
        <v>148</v>
      </c>
      <c r="C92" s="98">
        <v>34061.1</v>
      </c>
      <c r="D92" s="101">
        <f>33112185.45/1000</f>
        <v>33112.18545</v>
      </c>
      <c r="E92" s="101">
        <f>24542764.33/1000</f>
        <v>24542.764329999998</v>
      </c>
      <c r="F92" s="101">
        <v>33112.18545</v>
      </c>
      <c r="G92" s="101">
        <v>33112.18545</v>
      </c>
      <c r="H92" s="93">
        <f t="shared" si="1"/>
        <v>100</v>
      </c>
      <c r="I92" s="42"/>
      <c r="J92" s="42"/>
      <c r="K92" s="42"/>
    </row>
    <row r="93" spans="1:11" ht="15">
      <c r="A93" s="37" t="s">
        <v>54</v>
      </c>
      <c r="B93" s="22" t="s">
        <v>191</v>
      </c>
      <c r="C93" s="99">
        <f>C94+C95+C97+C98</f>
        <v>830787.5</v>
      </c>
      <c r="D93" s="99">
        <f>D94+D95+D97+D98+D96</f>
        <v>1364712.32402</v>
      </c>
      <c r="E93" s="99">
        <f>E94+E95+E97+E98+E96</f>
        <v>961306.30621</v>
      </c>
      <c r="F93" s="99">
        <f>F94+F95+F97+F98+F96</f>
        <v>1362244.8040200002</v>
      </c>
      <c r="G93" s="99">
        <f>G94+G95+G97+G98+G96</f>
        <v>1362244.8040200002</v>
      </c>
      <c r="H93" s="93">
        <f t="shared" si="1"/>
        <v>100</v>
      </c>
      <c r="I93" s="42"/>
      <c r="J93" s="42"/>
      <c r="K93" s="42"/>
    </row>
    <row r="94" spans="1:11" s="51" customFormat="1" ht="15">
      <c r="A94" s="37" t="s">
        <v>72</v>
      </c>
      <c r="B94" s="22" t="s">
        <v>104</v>
      </c>
      <c r="C94" s="101">
        <v>461484.99</v>
      </c>
      <c r="D94" s="101">
        <f>501254233/1000</f>
        <v>501254.233</v>
      </c>
      <c r="E94" s="101">
        <f>428822804.95/1000</f>
        <v>428822.80494999996</v>
      </c>
      <c r="F94" s="101">
        <v>505474.113</v>
      </c>
      <c r="G94" s="101">
        <v>505474.113</v>
      </c>
      <c r="H94" s="93">
        <f t="shared" si="1"/>
        <v>100</v>
      </c>
      <c r="I94" s="42"/>
      <c r="J94" s="42"/>
      <c r="K94" s="42"/>
    </row>
    <row r="95" spans="1:11" ht="15">
      <c r="A95" s="37" t="s">
        <v>55</v>
      </c>
      <c r="B95" s="22" t="s">
        <v>105</v>
      </c>
      <c r="C95" s="101">
        <v>79641.81</v>
      </c>
      <c r="D95" s="101">
        <f>327177400.16/1000</f>
        <v>327177.40016</v>
      </c>
      <c r="E95" s="101">
        <f>150483000.79/1000</f>
        <v>150483.00079</v>
      </c>
      <c r="F95" s="101">
        <v>329286.80016</v>
      </c>
      <c r="G95" s="101">
        <v>329286.80016</v>
      </c>
      <c r="H95" s="93">
        <f t="shared" si="1"/>
        <v>100</v>
      </c>
      <c r="I95" s="42"/>
      <c r="J95" s="42"/>
      <c r="K95" s="42"/>
    </row>
    <row r="96" spans="1:11" ht="15">
      <c r="A96" s="37" t="s">
        <v>214</v>
      </c>
      <c r="B96" s="83" t="s">
        <v>213</v>
      </c>
      <c r="C96" s="101">
        <v>0</v>
      </c>
      <c r="D96" s="101">
        <f>65358500/1000</f>
        <v>65358.5</v>
      </c>
      <c r="E96" s="101">
        <f>46205168.22/1000</f>
        <v>46205.16822</v>
      </c>
      <c r="F96" s="101">
        <v>65358.5</v>
      </c>
      <c r="G96" s="101">
        <v>65358.5</v>
      </c>
      <c r="H96" s="93"/>
      <c r="I96" s="42"/>
      <c r="J96" s="42"/>
      <c r="K96" s="42"/>
    </row>
    <row r="97" spans="1:11" s="51" customFormat="1" ht="38.25">
      <c r="A97" s="37" t="s">
        <v>106</v>
      </c>
      <c r="B97" s="22" t="s">
        <v>107</v>
      </c>
      <c r="C97" s="101">
        <v>22465</v>
      </c>
      <c r="D97" s="101">
        <f>22029500/1000</f>
        <v>22029.5</v>
      </c>
      <c r="E97" s="101">
        <f>16560757/1000</f>
        <v>16560.757</v>
      </c>
      <c r="F97" s="101">
        <v>20350.9</v>
      </c>
      <c r="G97" s="101">
        <v>20350.9</v>
      </c>
      <c r="H97" s="93">
        <f t="shared" si="1"/>
        <v>100</v>
      </c>
      <c r="I97" s="42"/>
      <c r="J97" s="42"/>
      <c r="K97" s="42"/>
    </row>
    <row r="98" spans="1:11" ht="15">
      <c r="A98" s="37" t="s">
        <v>158</v>
      </c>
      <c r="B98" s="22" t="s">
        <v>149</v>
      </c>
      <c r="C98" s="101">
        <v>267195.7</v>
      </c>
      <c r="D98" s="101">
        <f>448892690.86/1000</f>
        <v>448892.69086000003</v>
      </c>
      <c r="E98" s="101">
        <f>319234575.25/1000</f>
        <v>319234.57525</v>
      </c>
      <c r="F98" s="101">
        <v>441774.49086</v>
      </c>
      <c r="G98" s="101">
        <v>441774.49086</v>
      </c>
      <c r="H98" s="93">
        <f t="shared" si="1"/>
        <v>100</v>
      </c>
      <c r="I98" s="42"/>
      <c r="J98" s="42"/>
      <c r="K98" s="42"/>
    </row>
    <row r="99" spans="1:11" ht="15">
      <c r="A99" s="37" t="s">
        <v>56</v>
      </c>
      <c r="B99" s="22" t="s">
        <v>192</v>
      </c>
      <c r="C99" s="99">
        <f>C100+C101+C102+C103+C104</f>
        <v>7522325.953000002</v>
      </c>
      <c r="D99" s="99">
        <f>D100+D101+D102+D103+D104</f>
        <v>7698877.91497</v>
      </c>
      <c r="E99" s="99">
        <f>E100+E101+E102+E103+E104</f>
        <v>5596895.868880001</v>
      </c>
      <c r="F99" s="99">
        <f>F100+F101+F102+F103+F104</f>
        <v>7696534.71497</v>
      </c>
      <c r="G99" s="99">
        <f>G100+G101+G102+G103+G104</f>
        <v>7696534.71497</v>
      </c>
      <c r="H99" s="93">
        <f t="shared" si="1"/>
        <v>100</v>
      </c>
      <c r="I99" s="42"/>
      <c r="J99" s="42"/>
      <c r="K99" s="42"/>
    </row>
    <row r="100" spans="1:11" ht="15">
      <c r="A100" s="37" t="s">
        <v>57</v>
      </c>
      <c r="B100" s="22" t="s">
        <v>27</v>
      </c>
      <c r="C100" s="98">
        <v>101003</v>
      </c>
      <c r="D100" s="101">
        <f>101003000/1000</f>
        <v>101003</v>
      </c>
      <c r="E100" s="101">
        <f>73803710.01/1000</f>
        <v>73803.71001000001</v>
      </c>
      <c r="F100" s="101">
        <v>101003</v>
      </c>
      <c r="G100" s="101">
        <v>101003</v>
      </c>
      <c r="H100" s="93">
        <f t="shared" si="1"/>
        <v>100</v>
      </c>
      <c r="I100" s="42"/>
      <c r="J100" s="42"/>
      <c r="K100" s="42"/>
    </row>
    <row r="101" spans="1:11" ht="15">
      <c r="A101" s="37" t="s">
        <v>58</v>
      </c>
      <c r="B101" s="22" t="s">
        <v>28</v>
      </c>
      <c r="C101" s="98">
        <v>559293.4</v>
      </c>
      <c r="D101" s="101">
        <f>645464900/1000</f>
        <v>645464.9</v>
      </c>
      <c r="E101" s="101">
        <f>530534314.11/1000</f>
        <v>530534.31411</v>
      </c>
      <c r="F101" s="101">
        <v>645321.7000000001</v>
      </c>
      <c r="G101" s="101">
        <v>645321.7000000001</v>
      </c>
      <c r="H101" s="93">
        <f t="shared" si="1"/>
        <v>100</v>
      </c>
      <c r="I101" s="42"/>
      <c r="J101" s="42"/>
      <c r="K101" s="42"/>
    </row>
    <row r="102" spans="1:11" ht="15">
      <c r="A102" s="37" t="s">
        <v>29</v>
      </c>
      <c r="B102" s="22" t="s">
        <v>182</v>
      </c>
      <c r="C102" s="98">
        <v>5596505.11</v>
      </c>
      <c r="D102" s="101">
        <f>5526521374.83/1000</f>
        <v>5526521.37483</v>
      </c>
      <c r="E102" s="101">
        <f>4062808394.42/1000</f>
        <v>4062808.3944200003</v>
      </c>
      <c r="F102" s="101">
        <v>5526021.37483</v>
      </c>
      <c r="G102" s="101">
        <v>5526021.37483</v>
      </c>
      <c r="H102" s="93">
        <f t="shared" si="1"/>
        <v>100</v>
      </c>
      <c r="I102" s="42"/>
      <c r="J102" s="42"/>
      <c r="K102" s="42"/>
    </row>
    <row r="103" spans="1:11" ht="18" customHeight="1">
      <c r="A103" s="37" t="s">
        <v>59</v>
      </c>
      <c r="B103" s="22" t="s">
        <v>108</v>
      </c>
      <c r="C103" s="98">
        <v>1110369.043</v>
      </c>
      <c r="D103" s="101">
        <f>1271294778.17/1000</f>
        <v>1271294.77817</v>
      </c>
      <c r="E103" s="101">
        <f>820047772.2/1000</f>
        <v>820047.7722</v>
      </c>
      <c r="F103" s="101">
        <v>1269594.77817</v>
      </c>
      <c r="G103" s="101">
        <v>1269594.77817</v>
      </c>
      <c r="H103" s="93">
        <f t="shared" si="1"/>
        <v>100</v>
      </c>
      <c r="I103" s="42"/>
      <c r="J103" s="42"/>
      <c r="K103" s="42"/>
    </row>
    <row r="104" spans="1:11" s="51" customFormat="1" ht="15" customHeight="1">
      <c r="A104" s="37" t="s">
        <v>159</v>
      </c>
      <c r="B104" s="22" t="s">
        <v>150</v>
      </c>
      <c r="C104" s="98">
        <v>155155.4</v>
      </c>
      <c r="D104" s="101">
        <f>154593861.97/1000</f>
        <v>154593.86197</v>
      </c>
      <c r="E104" s="101">
        <f>109701678.14/1000</f>
        <v>109701.67814</v>
      </c>
      <c r="F104" s="101">
        <v>154593.86197</v>
      </c>
      <c r="G104" s="101">
        <v>154593.86197</v>
      </c>
      <c r="H104" s="93">
        <f t="shared" si="1"/>
        <v>100</v>
      </c>
      <c r="I104" s="42"/>
      <c r="J104" s="42"/>
      <c r="K104" s="42"/>
    </row>
    <row r="105" spans="1:11" ht="15">
      <c r="A105" s="37" t="s">
        <v>60</v>
      </c>
      <c r="B105" s="22" t="s">
        <v>193</v>
      </c>
      <c r="C105" s="99">
        <f>C106+C107+C108</f>
        <v>314837.185</v>
      </c>
      <c r="D105" s="99">
        <f>D106+D107+D108</f>
        <v>339364.36342999997</v>
      </c>
      <c r="E105" s="99">
        <f>E106+E107+E108</f>
        <v>262383.16258999996</v>
      </c>
      <c r="F105" s="99">
        <f>F106+F107+F108</f>
        <v>337970.24843</v>
      </c>
      <c r="G105" s="99">
        <f>G106+G107+G108</f>
        <v>337970.24843</v>
      </c>
      <c r="H105" s="93">
        <f t="shared" si="1"/>
        <v>100</v>
      </c>
      <c r="I105" s="42"/>
      <c r="J105" s="42"/>
      <c r="K105" s="42"/>
    </row>
    <row r="106" spans="1:11" ht="15" customHeight="1">
      <c r="A106" s="37" t="s">
        <v>61</v>
      </c>
      <c r="B106" s="22" t="s">
        <v>151</v>
      </c>
      <c r="C106" s="98">
        <v>263730</v>
      </c>
      <c r="D106" s="101">
        <f>269786915/1000</f>
        <v>269786.915</v>
      </c>
      <c r="E106" s="101">
        <f>204283606.69/1000</f>
        <v>204283.60669</v>
      </c>
      <c r="F106" s="101">
        <v>268392.8</v>
      </c>
      <c r="G106" s="101">
        <v>268392.8</v>
      </c>
      <c r="H106" s="93">
        <f t="shared" si="1"/>
        <v>100</v>
      </c>
      <c r="I106" s="42"/>
      <c r="J106" s="42"/>
      <c r="K106" s="42"/>
    </row>
    <row r="107" spans="1:11" ht="15">
      <c r="A107" s="37" t="s">
        <v>62</v>
      </c>
      <c r="B107" s="22" t="s">
        <v>152</v>
      </c>
      <c r="C107" s="98">
        <v>28996.185</v>
      </c>
      <c r="D107" s="101">
        <f>37957997.86/1000</f>
        <v>37957.997859999996</v>
      </c>
      <c r="E107" s="101">
        <f>36018451.19/1000</f>
        <v>36018.45119</v>
      </c>
      <c r="F107" s="101">
        <v>37957.99786</v>
      </c>
      <c r="G107" s="101">
        <v>37957.99786</v>
      </c>
      <c r="H107" s="93">
        <f t="shared" si="1"/>
        <v>100</v>
      </c>
      <c r="I107" s="42"/>
      <c r="J107" s="42"/>
      <c r="K107" s="42"/>
    </row>
    <row r="108" spans="1:11" ht="25.5">
      <c r="A108" s="37" t="s">
        <v>109</v>
      </c>
      <c r="B108" s="22" t="s">
        <v>153</v>
      </c>
      <c r="C108" s="98">
        <v>22111</v>
      </c>
      <c r="D108" s="101">
        <f>31619450.57/1000</f>
        <v>31619.45057</v>
      </c>
      <c r="E108" s="101">
        <f>22081104.71/1000</f>
        <v>22081.10471</v>
      </c>
      <c r="F108" s="101">
        <v>31619.45057</v>
      </c>
      <c r="G108" s="101">
        <v>31619.45057</v>
      </c>
      <c r="H108" s="93">
        <f t="shared" si="1"/>
        <v>100</v>
      </c>
      <c r="I108" s="42"/>
      <c r="J108" s="42"/>
      <c r="K108" s="42"/>
    </row>
    <row r="109" spans="1:11" ht="15.75" customHeight="1">
      <c r="A109" s="37" t="s">
        <v>160</v>
      </c>
      <c r="B109" s="22" t="s">
        <v>194</v>
      </c>
      <c r="C109" s="99">
        <f>C110+C111</f>
        <v>64001</v>
      </c>
      <c r="D109" s="99">
        <f>D110+D111</f>
        <v>73043.5</v>
      </c>
      <c r="E109" s="99">
        <f>E110+E111</f>
        <v>50050.771210000006</v>
      </c>
      <c r="F109" s="99">
        <f>F110+F111</f>
        <v>73043.5</v>
      </c>
      <c r="G109" s="99">
        <f>G110+G111</f>
        <v>73043.5</v>
      </c>
      <c r="H109" s="93">
        <f t="shared" si="1"/>
        <v>100</v>
      </c>
      <c r="I109" s="42"/>
      <c r="J109" s="42"/>
      <c r="K109" s="42"/>
    </row>
    <row r="110" spans="1:11" s="51" customFormat="1" ht="15">
      <c r="A110" s="37" t="s">
        <v>161</v>
      </c>
      <c r="B110" s="22" t="s">
        <v>66</v>
      </c>
      <c r="C110" s="98">
        <v>30845</v>
      </c>
      <c r="D110" s="101">
        <f>39344000/1000</f>
        <v>39344</v>
      </c>
      <c r="E110" s="101">
        <f>28270733.6/1000</f>
        <v>28270.733600000003</v>
      </c>
      <c r="F110" s="101">
        <v>39444</v>
      </c>
      <c r="G110" s="101">
        <v>39444</v>
      </c>
      <c r="H110" s="93">
        <f t="shared" si="1"/>
        <v>100</v>
      </c>
      <c r="I110" s="42"/>
      <c r="J110" s="42"/>
      <c r="K110" s="42"/>
    </row>
    <row r="111" spans="1:11" ht="15">
      <c r="A111" s="37" t="s">
        <v>162</v>
      </c>
      <c r="B111" s="22" t="s">
        <v>67</v>
      </c>
      <c r="C111" s="98">
        <v>33156</v>
      </c>
      <c r="D111" s="101">
        <f>33699500/1000</f>
        <v>33699.5</v>
      </c>
      <c r="E111" s="101">
        <f>21780037.61/1000</f>
        <v>21780.03761</v>
      </c>
      <c r="F111" s="101">
        <v>33599.5</v>
      </c>
      <c r="G111" s="101">
        <v>33599.5</v>
      </c>
      <c r="H111" s="93">
        <f t="shared" si="1"/>
        <v>100</v>
      </c>
      <c r="I111" s="42"/>
      <c r="J111" s="42"/>
      <c r="K111" s="42"/>
    </row>
    <row r="112" spans="1:11" ht="25.5">
      <c r="A112" s="37" t="s">
        <v>163</v>
      </c>
      <c r="B112" s="22" t="s">
        <v>195</v>
      </c>
      <c r="C112" s="99">
        <f>C113</f>
        <v>894395</v>
      </c>
      <c r="D112" s="99">
        <f>D113</f>
        <v>894460.08204</v>
      </c>
      <c r="E112" s="99">
        <f>E113</f>
        <v>466539.02102</v>
      </c>
      <c r="F112" s="99">
        <f>F113</f>
        <v>894460.08204</v>
      </c>
      <c r="G112" s="99">
        <f>G113</f>
        <v>894460.08204</v>
      </c>
      <c r="H112" s="93">
        <f t="shared" si="1"/>
        <v>100</v>
      </c>
      <c r="I112" s="42"/>
      <c r="J112" s="42"/>
      <c r="K112" s="42"/>
    </row>
    <row r="113" spans="1:11" ht="30" customHeight="1">
      <c r="A113" s="37" t="s">
        <v>164</v>
      </c>
      <c r="B113" s="22" t="s">
        <v>154</v>
      </c>
      <c r="C113" s="102">
        <v>894395</v>
      </c>
      <c r="D113" s="101">
        <f>894460082.04/1000</f>
        <v>894460.08204</v>
      </c>
      <c r="E113" s="101">
        <f>466539021.02/1000</f>
        <v>466539.02102</v>
      </c>
      <c r="F113" s="101">
        <v>894460.08204</v>
      </c>
      <c r="G113" s="101">
        <v>894460.08204</v>
      </c>
      <c r="H113" s="93">
        <f t="shared" si="1"/>
        <v>100</v>
      </c>
      <c r="I113" s="42"/>
      <c r="J113" s="42"/>
      <c r="K113" s="42"/>
    </row>
    <row r="114" spans="1:11" s="49" customFormat="1" ht="15.75" customHeight="1">
      <c r="A114" s="37" t="s">
        <v>165</v>
      </c>
      <c r="B114" s="22" t="s">
        <v>196</v>
      </c>
      <c r="C114" s="99">
        <f>C115+C116+C117</f>
        <v>459623</v>
      </c>
      <c r="D114" s="99">
        <f>D115+D116+D117</f>
        <v>1471814.87232</v>
      </c>
      <c r="E114" s="99">
        <f>E115+E116+E117</f>
        <v>1287663.98559</v>
      </c>
      <c r="F114" s="99">
        <f>F115+F116+F117</f>
        <v>1396057.75232</v>
      </c>
      <c r="G114" s="99">
        <f>G115+G116+G117</f>
        <v>1396057.75232</v>
      </c>
      <c r="H114" s="93">
        <f t="shared" si="1"/>
        <v>100</v>
      </c>
      <c r="I114" s="42"/>
      <c r="J114" s="42"/>
      <c r="K114" s="42"/>
    </row>
    <row r="115" spans="1:11" ht="38.25">
      <c r="A115" s="37" t="s">
        <v>166</v>
      </c>
      <c r="B115" s="22" t="s">
        <v>155</v>
      </c>
      <c r="C115" s="103">
        <v>339250.7</v>
      </c>
      <c r="D115" s="101">
        <f>339250700/1000</f>
        <v>339250.7</v>
      </c>
      <c r="E115" s="101">
        <f>321260074/1000</f>
        <v>321260.074</v>
      </c>
      <c r="F115" s="101">
        <v>339250.7</v>
      </c>
      <c r="G115" s="101">
        <v>339250.7</v>
      </c>
      <c r="H115" s="93">
        <f t="shared" si="1"/>
        <v>100</v>
      </c>
      <c r="I115" s="42"/>
      <c r="J115" s="42"/>
      <c r="K115" s="42"/>
    </row>
    <row r="116" spans="1:11" ht="15.75" customHeight="1">
      <c r="A116" s="37" t="s">
        <v>167</v>
      </c>
      <c r="B116" s="22" t="s">
        <v>156</v>
      </c>
      <c r="C116" s="103">
        <v>36150.1</v>
      </c>
      <c r="D116" s="101">
        <f>972384852.32/1000</f>
        <v>972384.8523200001</v>
      </c>
      <c r="E116" s="101">
        <f>872741777.01/1000</f>
        <v>872741.77701</v>
      </c>
      <c r="F116" s="101">
        <v>972634.8523200001</v>
      </c>
      <c r="G116" s="101">
        <v>972634.8523200001</v>
      </c>
      <c r="H116" s="93">
        <f t="shared" si="1"/>
        <v>100</v>
      </c>
      <c r="I116" s="42"/>
      <c r="J116" s="42"/>
      <c r="K116" s="42"/>
    </row>
    <row r="117" spans="1:11" s="49" customFormat="1" ht="25.5">
      <c r="A117" s="37" t="s">
        <v>173</v>
      </c>
      <c r="B117" s="22" t="s">
        <v>174</v>
      </c>
      <c r="C117" s="102">
        <v>84222.2</v>
      </c>
      <c r="D117" s="101">
        <f>160179320/1000</f>
        <v>160179.32</v>
      </c>
      <c r="E117" s="101">
        <f>93662134.58/1000</f>
        <v>93662.13458</v>
      </c>
      <c r="F117" s="101">
        <v>84172.2</v>
      </c>
      <c r="G117" s="101">
        <v>84172.2</v>
      </c>
      <c r="H117" s="93">
        <f t="shared" si="1"/>
        <v>100</v>
      </c>
      <c r="I117" s="42"/>
      <c r="J117" s="42"/>
      <c r="K117" s="42"/>
    </row>
    <row r="118" spans="1:11" ht="15">
      <c r="A118" s="36"/>
      <c r="B118" s="23" t="s">
        <v>197</v>
      </c>
      <c r="C118" s="99">
        <f>C45+C55+C57+C63+C73+C78+C82+C90+C93+C99+C105+C109+C112+C114</f>
        <v>24900036.8</v>
      </c>
      <c r="D118" s="99">
        <f>D45+D55+D57+D63+D73+D78+D82+D90+D93+D99+D105+D109+D112+D114</f>
        <v>26038988.283200003</v>
      </c>
      <c r="E118" s="99">
        <f>E45+E55+E57+E63+E73+E78+E82+E90+E93+E99+E105+E109+E112+E114</f>
        <v>19063518.79681</v>
      </c>
      <c r="F118" s="99">
        <f>F45+F55+F57+F63+F73+F78+F82+F90+F93+F99+F105+F109+F112+F114</f>
        <v>26221332.2832</v>
      </c>
      <c r="G118" s="99">
        <f>G45+G55+G57+G63+G73+G78+G82+G90+G93+G99+G105+G109+G112+G114</f>
        <v>26092079.2832</v>
      </c>
      <c r="H118" s="93"/>
      <c r="I118" s="42"/>
      <c r="J118" s="42"/>
      <c r="K118" s="42"/>
    </row>
    <row r="119" spans="1:11" s="49" customFormat="1" ht="15">
      <c r="A119" s="35"/>
      <c r="B119" s="23" t="s">
        <v>198</v>
      </c>
      <c r="C119" s="97">
        <f>C43-C118</f>
        <v>0</v>
      </c>
      <c r="D119" s="97">
        <f>D43-D118</f>
        <v>-120107.19604000449</v>
      </c>
      <c r="E119" s="97">
        <f>E43-E118</f>
        <v>-783448.6532500014</v>
      </c>
      <c r="F119" s="97">
        <f>F43-F118</f>
        <v>-120107.19604000077</v>
      </c>
      <c r="G119" s="97">
        <f>G43-G118</f>
        <v>-120107.19603999704</v>
      </c>
      <c r="H119" s="94"/>
      <c r="I119" s="42"/>
      <c r="J119" s="42"/>
      <c r="K119" s="42"/>
    </row>
    <row r="120" spans="1:11" s="53" customFormat="1" ht="26.25" customHeight="1">
      <c r="A120" s="38"/>
      <c r="B120" s="24"/>
      <c r="C120" s="52"/>
      <c r="D120" s="68"/>
      <c r="E120" s="68"/>
      <c r="F120" s="68"/>
      <c r="G120" s="52"/>
      <c r="H120" s="65"/>
      <c r="I120" s="42"/>
      <c r="J120" s="42"/>
      <c r="K120" s="42"/>
    </row>
    <row r="121" spans="1:11" s="55" customFormat="1" ht="25.5" customHeight="1">
      <c r="A121" s="39"/>
      <c r="B121" s="25"/>
      <c r="C121" s="54"/>
      <c r="D121" s="66"/>
      <c r="E121" s="66"/>
      <c r="F121" s="66"/>
      <c r="G121" s="106"/>
      <c r="H121" s="66"/>
      <c r="I121" s="42"/>
      <c r="J121" s="42"/>
      <c r="K121" s="42"/>
    </row>
    <row r="122" spans="1:8" ht="15">
      <c r="A122" s="30"/>
      <c r="B122" s="26"/>
      <c r="C122" s="12"/>
      <c r="D122" s="69"/>
      <c r="E122" s="69"/>
      <c r="F122" s="69"/>
      <c r="H122" s="67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spans="1:8" ht="15">
      <c r="A133" s="41"/>
      <c r="B133" s="41"/>
      <c r="C133" s="4"/>
      <c r="G133" s="41"/>
      <c r="H133" s="41"/>
    </row>
    <row r="134" spans="1:8" ht="15">
      <c r="A134" s="41"/>
      <c r="B134" s="41"/>
      <c r="C134" s="4"/>
      <c r="G134" s="41"/>
      <c r="H134" s="41"/>
    </row>
    <row r="135" spans="1:8" ht="15">
      <c r="A135" s="41"/>
      <c r="B135" s="41"/>
      <c r="C135" s="4"/>
      <c r="G135" s="41"/>
      <c r="H135" s="41"/>
    </row>
    <row r="136" spans="1:8" ht="15">
      <c r="A136" s="41"/>
      <c r="B136" s="41"/>
      <c r="C136" s="4"/>
      <c r="G136" s="41"/>
      <c r="H136" s="41"/>
    </row>
    <row r="137" spans="1:8" ht="15">
      <c r="A137" s="41"/>
      <c r="B137" s="41"/>
      <c r="C137" s="4"/>
      <c r="G137" s="41"/>
      <c r="H137" s="41"/>
    </row>
    <row r="138" spans="1:8" ht="15">
      <c r="A138" s="41"/>
      <c r="B138" s="41"/>
      <c r="C138" s="4"/>
      <c r="G138" s="41"/>
      <c r="H138" s="41"/>
    </row>
    <row r="139" spans="1:8" ht="15">
      <c r="A139" s="41"/>
      <c r="B139" s="41"/>
      <c r="C139" s="4"/>
      <c r="G139" s="41"/>
      <c r="H139" s="41"/>
    </row>
    <row r="140" spans="1:8" ht="15">
      <c r="A140" s="41"/>
      <c r="B140" s="41"/>
      <c r="C140" s="4"/>
      <c r="G140" s="41"/>
      <c r="H140" s="41"/>
    </row>
    <row r="141" spans="1:8" ht="15">
      <c r="A141" s="41"/>
      <c r="B141" s="41"/>
      <c r="C141" s="4"/>
      <c r="G141" s="41"/>
      <c r="H141" s="41"/>
    </row>
    <row r="142" spans="1:8" ht="15">
      <c r="A142" s="41"/>
      <c r="B142" s="41"/>
      <c r="C142" s="4"/>
      <c r="G142" s="41"/>
      <c r="H142" s="41"/>
    </row>
    <row r="143" spans="1:8" ht="15">
      <c r="A143" s="41"/>
      <c r="B143" s="41"/>
      <c r="C143" s="4"/>
      <c r="G143" s="41"/>
      <c r="H143" s="41"/>
    </row>
    <row r="144" spans="1:8" ht="15">
      <c r="A144" s="41"/>
      <c r="B144" s="41"/>
      <c r="C144" s="4"/>
      <c r="G144" s="41"/>
      <c r="H144" s="41"/>
    </row>
    <row r="145" spans="1:8" ht="15">
      <c r="A145" s="41"/>
      <c r="B145" s="41"/>
      <c r="C145" s="4"/>
      <c r="G145" s="41"/>
      <c r="H145" s="41"/>
    </row>
    <row r="146" spans="1:8" ht="15">
      <c r="A146" s="41"/>
      <c r="B146" s="41"/>
      <c r="C146" s="4"/>
      <c r="G146" s="41"/>
      <c r="H146" s="41"/>
    </row>
    <row r="147" spans="1:8" ht="15">
      <c r="A147" s="41"/>
      <c r="B147" s="41"/>
      <c r="C147" s="4"/>
      <c r="G147" s="41"/>
      <c r="H147" s="41"/>
    </row>
    <row r="148" spans="1:8" ht="15">
      <c r="A148" s="41"/>
      <c r="B148" s="41"/>
      <c r="C148" s="4"/>
      <c r="G148" s="41"/>
      <c r="H148" s="41"/>
    </row>
    <row r="149" spans="1:8" ht="15">
      <c r="A149" s="41"/>
      <c r="B149" s="41"/>
      <c r="C149" s="4"/>
      <c r="G149" s="41"/>
      <c r="H149" s="41"/>
    </row>
    <row r="150" spans="1:8" ht="15">
      <c r="A150" s="41"/>
      <c r="B150" s="41"/>
      <c r="C150" s="4"/>
      <c r="G150" s="41"/>
      <c r="H150" s="41"/>
    </row>
    <row r="151" spans="1:8" ht="15">
      <c r="A151" s="41"/>
      <c r="B151" s="41"/>
      <c r="C151" s="4"/>
      <c r="G151" s="41"/>
      <c r="H151" s="41"/>
    </row>
    <row r="152" spans="1:8" ht="15">
      <c r="A152" s="41"/>
      <c r="B152" s="41"/>
      <c r="C152" s="4"/>
      <c r="G152" s="41"/>
      <c r="H152" s="41"/>
    </row>
    <row r="153" spans="1:8" ht="15">
      <c r="A153" s="41"/>
      <c r="B153" s="41"/>
      <c r="C153" s="4"/>
      <c r="G153" s="41"/>
      <c r="H153" s="41"/>
    </row>
    <row r="154" spans="1:8" ht="15">
      <c r="A154" s="41"/>
      <c r="B154" s="41"/>
      <c r="C154" s="4"/>
      <c r="G154" s="41"/>
      <c r="H154" s="41"/>
    </row>
    <row r="155" spans="1:8" ht="15">
      <c r="A155" s="41"/>
      <c r="B155" s="41"/>
      <c r="C155" s="4"/>
      <c r="G155" s="41"/>
      <c r="H155" s="41"/>
    </row>
    <row r="156" spans="1:8" ht="15">
      <c r="A156" s="41"/>
      <c r="B156" s="41"/>
      <c r="C156" s="4"/>
      <c r="G156" s="41"/>
      <c r="H156" s="41"/>
    </row>
    <row r="157" spans="1:8" ht="15">
      <c r="A157" s="41"/>
      <c r="B157" s="41"/>
      <c r="C157" s="4"/>
      <c r="G157" s="41"/>
      <c r="H157" s="41"/>
    </row>
    <row r="158" spans="1:8" ht="15">
      <c r="A158" s="41"/>
      <c r="B158" s="41"/>
      <c r="C158" s="4"/>
      <c r="G158" s="41"/>
      <c r="H158" s="41"/>
    </row>
    <row r="159" spans="1:8" ht="15">
      <c r="A159" s="41"/>
      <c r="B159" s="41"/>
      <c r="C159" s="4"/>
      <c r="G159" s="41"/>
      <c r="H159" s="41"/>
    </row>
    <row r="160" spans="1:8" ht="15">
      <c r="A160" s="41"/>
      <c r="B160" s="41"/>
      <c r="C160" s="4"/>
      <c r="G160" s="41"/>
      <c r="H160" s="41"/>
    </row>
    <row r="161" spans="1:8" ht="15">
      <c r="A161" s="41"/>
      <c r="B161" s="41"/>
      <c r="C161" s="4"/>
      <c r="G161" s="41"/>
      <c r="H161" s="41"/>
    </row>
    <row r="162" spans="1:8" ht="15">
      <c r="A162" s="41"/>
      <c r="B162" s="41"/>
      <c r="C162" s="4"/>
      <c r="G162" s="41"/>
      <c r="H162" s="41"/>
    </row>
    <row r="163" spans="1:8" ht="15">
      <c r="A163" s="41"/>
      <c r="B163" s="41"/>
      <c r="C163" s="4"/>
      <c r="G163" s="41"/>
      <c r="H163" s="41"/>
    </row>
    <row r="164" spans="1:8" ht="15">
      <c r="A164" s="41"/>
      <c r="B164" s="41"/>
      <c r="C164" s="4"/>
      <c r="G164" s="41"/>
      <c r="H164" s="41"/>
    </row>
    <row r="165" spans="1:8" ht="15">
      <c r="A165" s="41"/>
      <c r="B165" s="41"/>
      <c r="C165" s="4"/>
      <c r="G165" s="41"/>
      <c r="H165" s="41"/>
    </row>
    <row r="166" spans="1:8" ht="15">
      <c r="A166" s="41"/>
      <c r="B166" s="41"/>
      <c r="C166" s="4"/>
      <c r="G166" s="41"/>
      <c r="H166" s="41"/>
    </row>
    <row r="167" spans="1:8" ht="15">
      <c r="A167" s="41"/>
      <c r="B167" s="41"/>
      <c r="C167" s="4"/>
      <c r="G167" s="41"/>
      <c r="H167" s="41"/>
    </row>
    <row r="168" spans="1:8" ht="15">
      <c r="A168" s="41"/>
      <c r="B168" s="41"/>
      <c r="C168" s="4"/>
      <c r="G168" s="41"/>
      <c r="H168" s="41"/>
    </row>
    <row r="169" spans="1:8" ht="15">
      <c r="A169" s="41"/>
      <c r="B169" s="41"/>
      <c r="C169" s="4"/>
      <c r="G169" s="41"/>
      <c r="H169" s="41"/>
    </row>
    <row r="170" spans="1:8" ht="15">
      <c r="A170" s="41"/>
      <c r="B170" s="41"/>
      <c r="C170" s="4"/>
      <c r="G170" s="41"/>
      <c r="H170" s="41"/>
    </row>
    <row r="171" spans="1:8" ht="15">
      <c r="A171" s="41"/>
      <c r="B171" s="41"/>
      <c r="C171" s="4"/>
      <c r="G171" s="41"/>
      <c r="H171" s="41"/>
    </row>
    <row r="172" spans="1:8" ht="15">
      <c r="A172" s="41"/>
      <c r="B172" s="41"/>
      <c r="C172" s="4"/>
      <c r="G172" s="41"/>
      <c r="H172" s="41"/>
    </row>
    <row r="173" spans="1:8" ht="15">
      <c r="A173" s="41"/>
      <c r="B173" s="41"/>
      <c r="C173" s="4"/>
      <c r="G173" s="41"/>
      <c r="H173" s="41"/>
    </row>
    <row r="174" spans="1:8" ht="15">
      <c r="A174" s="41"/>
      <c r="B174" s="41"/>
      <c r="C174" s="4"/>
      <c r="G174" s="41"/>
      <c r="H174" s="41"/>
    </row>
    <row r="175" spans="1:8" ht="15">
      <c r="A175" s="41"/>
      <c r="B175" s="41"/>
      <c r="C175" s="4"/>
      <c r="G175" s="41"/>
      <c r="H175" s="41"/>
    </row>
    <row r="176" spans="1:8" ht="15">
      <c r="A176" s="41"/>
      <c r="B176" s="41"/>
      <c r="C176" s="4"/>
      <c r="G176" s="41"/>
      <c r="H176" s="41"/>
    </row>
    <row r="177" spans="1:8" ht="15">
      <c r="A177" s="41"/>
      <c r="B177" s="41"/>
      <c r="C177" s="4"/>
      <c r="G177" s="41"/>
      <c r="H177" s="41"/>
    </row>
    <row r="178" spans="1:8" ht="15">
      <c r="A178" s="41"/>
      <c r="B178" s="41"/>
      <c r="C178" s="4"/>
      <c r="G178" s="41"/>
      <c r="H178" s="41"/>
    </row>
    <row r="179" spans="1:8" ht="15">
      <c r="A179" s="41"/>
      <c r="B179" s="41"/>
      <c r="C179" s="4"/>
      <c r="G179" s="41"/>
      <c r="H179" s="41"/>
    </row>
    <row r="180" spans="1:8" ht="15">
      <c r="A180" s="41"/>
      <c r="B180" s="41"/>
      <c r="C180" s="4"/>
      <c r="G180" s="41"/>
      <c r="H180" s="41"/>
    </row>
    <row r="181" spans="1:8" ht="15">
      <c r="A181" s="41"/>
      <c r="B181" s="41"/>
      <c r="C181" s="4"/>
      <c r="G181" s="41"/>
      <c r="H181" s="41"/>
    </row>
    <row r="182" spans="1:8" ht="15">
      <c r="A182" s="41"/>
      <c r="B182" s="41"/>
      <c r="C182" s="4"/>
      <c r="G182" s="41"/>
      <c r="H182" s="41"/>
    </row>
    <row r="183" spans="1:8" ht="15">
      <c r="A183" s="41"/>
      <c r="B183" s="41"/>
      <c r="C183" s="4"/>
      <c r="G183" s="41"/>
      <c r="H183" s="41"/>
    </row>
    <row r="184" spans="1:8" ht="15">
      <c r="A184" s="41"/>
      <c r="B184" s="41"/>
      <c r="C184" s="4"/>
      <c r="G184" s="41"/>
      <c r="H184" s="41"/>
    </row>
    <row r="185" spans="1:8" ht="15">
      <c r="A185" s="41"/>
      <c r="B185" s="41"/>
      <c r="C185" s="4"/>
      <c r="G185" s="41"/>
      <c r="H185" s="41"/>
    </row>
    <row r="186" spans="1:8" ht="15">
      <c r="A186" s="41"/>
      <c r="B186" s="41"/>
      <c r="C186" s="4"/>
      <c r="G186" s="41"/>
      <c r="H186" s="41"/>
    </row>
    <row r="187" spans="1:8" ht="15">
      <c r="A187" s="41"/>
      <c r="B187" s="41"/>
      <c r="C187" s="4"/>
      <c r="G187" s="41"/>
      <c r="H187" s="41"/>
    </row>
    <row r="188" spans="1:8" ht="15">
      <c r="A188" s="41"/>
      <c r="B188" s="41"/>
      <c r="C188" s="4"/>
      <c r="G188" s="41"/>
      <c r="H188" s="41"/>
    </row>
    <row r="189" spans="1:8" ht="15">
      <c r="A189" s="41"/>
      <c r="B189" s="41"/>
      <c r="C189" s="4"/>
      <c r="G189" s="41"/>
      <c r="H189" s="41"/>
    </row>
    <row r="190" spans="1:8" ht="15">
      <c r="A190" s="41"/>
      <c r="B190" s="41"/>
      <c r="C190" s="4"/>
      <c r="G190" s="41"/>
      <c r="H190" s="41"/>
    </row>
    <row r="191" spans="1:8" ht="15">
      <c r="A191" s="41"/>
      <c r="B191" s="41"/>
      <c r="C191" s="4"/>
      <c r="G191" s="41"/>
      <c r="H191" s="41"/>
    </row>
    <row r="192" spans="1:8" ht="15">
      <c r="A192" s="41"/>
      <c r="B192" s="41"/>
      <c r="C192" s="4"/>
      <c r="G192" s="41"/>
      <c r="H192" s="41"/>
    </row>
    <row r="193" spans="1:8" ht="15">
      <c r="A193" s="41"/>
      <c r="B193" s="41"/>
      <c r="C193" s="4"/>
      <c r="G193" s="41"/>
      <c r="H193" s="41"/>
    </row>
    <row r="194" spans="1:8" ht="15">
      <c r="A194" s="41"/>
      <c r="B194" s="41"/>
      <c r="C194" s="4"/>
      <c r="G194" s="41"/>
      <c r="H194" s="41"/>
    </row>
    <row r="195" spans="1:8" ht="15">
      <c r="A195" s="41"/>
      <c r="B195" s="41"/>
      <c r="C195" s="4"/>
      <c r="G195" s="41"/>
      <c r="H195" s="41"/>
    </row>
    <row r="196" spans="1:8" ht="15">
      <c r="A196" s="41"/>
      <c r="B196" s="41"/>
      <c r="C196" s="4"/>
      <c r="G196" s="41"/>
      <c r="H196" s="41"/>
    </row>
    <row r="197" spans="1:8" ht="15">
      <c r="A197" s="41"/>
      <c r="B197" s="41"/>
      <c r="C197" s="4"/>
      <c r="G197" s="41"/>
      <c r="H197" s="41"/>
    </row>
    <row r="198" spans="1:8" ht="15">
      <c r="A198" s="41"/>
      <c r="B198" s="41"/>
      <c r="C198" s="4"/>
      <c r="G198" s="41"/>
      <c r="H198" s="41"/>
    </row>
    <row r="199" spans="1:8" ht="15">
      <c r="A199" s="41"/>
      <c r="B199" s="41"/>
      <c r="C199" s="4"/>
      <c r="G199" s="41"/>
      <c r="H199" s="41"/>
    </row>
    <row r="200" spans="1:8" ht="15">
      <c r="A200" s="41"/>
      <c r="B200" s="41"/>
      <c r="C200" s="4"/>
      <c r="G200" s="41"/>
      <c r="H200" s="41"/>
    </row>
    <row r="201" spans="1:8" ht="15">
      <c r="A201" s="41"/>
      <c r="B201" s="41"/>
      <c r="C201" s="4"/>
      <c r="G201" s="41"/>
      <c r="H201" s="41"/>
    </row>
    <row r="202" spans="1:8" ht="15">
      <c r="A202" s="41"/>
      <c r="B202" s="41"/>
      <c r="C202" s="4"/>
      <c r="G202" s="41"/>
      <c r="H202" s="41"/>
    </row>
    <row r="203" spans="1:8" ht="15">
      <c r="A203" s="41"/>
      <c r="B203" s="41"/>
      <c r="C203" s="4"/>
      <c r="G203" s="41"/>
      <c r="H203" s="41"/>
    </row>
    <row r="204" spans="1:8" ht="15">
      <c r="A204" s="41"/>
      <c r="B204" s="41"/>
      <c r="C204" s="4"/>
      <c r="G204" s="41"/>
      <c r="H204" s="41"/>
    </row>
    <row r="205" spans="1:8" ht="15">
      <c r="A205" s="41"/>
      <c r="B205" s="41"/>
      <c r="C205" s="4"/>
      <c r="G205" s="41"/>
      <c r="H205" s="41"/>
    </row>
    <row r="206" spans="1:8" ht="15">
      <c r="A206" s="41"/>
      <c r="B206" s="41"/>
      <c r="C206" s="4"/>
      <c r="G206" s="41"/>
      <c r="H206" s="41"/>
    </row>
    <row r="207" spans="1:8" ht="15">
      <c r="A207" s="41"/>
      <c r="B207" s="41"/>
      <c r="C207" s="4"/>
      <c r="G207" s="41"/>
      <c r="H207" s="41"/>
    </row>
    <row r="208" spans="1:8" ht="15">
      <c r="A208" s="41"/>
      <c r="B208" s="41"/>
      <c r="C208" s="4"/>
      <c r="G208" s="41"/>
      <c r="H208" s="41"/>
    </row>
    <row r="209" spans="1:8" ht="15">
      <c r="A209" s="41"/>
      <c r="B209" s="41"/>
      <c r="C209" s="4"/>
      <c r="G209" s="41"/>
      <c r="H209" s="41"/>
    </row>
    <row r="210" spans="1:8" ht="15">
      <c r="A210" s="41"/>
      <c r="B210" s="41"/>
      <c r="C210" s="4"/>
      <c r="G210" s="41"/>
      <c r="H210" s="41"/>
    </row>
    <row r="211" spans="1:8" ht="15">
      <c r="A211" s="41"/>
      <c r="B211" s="41"/>
      <c r="C211" s="4"/>
      <c r="G211" s="41"/>
      <c r="H211" s="41"/>
    </row>
    <row r="212" spans="1:8" ht="15">
      <c r="A212" s="41"/>
      <c r="B212" s="41"/>
      <c r="C212" s="4"/>
      <c r="G212" s="41"/>
      <c r="H212" s="41"/>
    </row>
  </sheetData>
  <sheetProtection password="C6FB" sheet="1"/>
  <mergeCells count="2">
    <mergeCell ref="A1:H1"/>
    <mergeCell ref="G3:H3"/>
  </mergeCells>
  <printOptions/>
  <pageMargins left="0.6692913385826772" right="0.1574803149606299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Шумахер Татьяна Васильевна</dc:creator>
  <cp:keywords/>
  <dc:description/>
  <cp:lastModifiedBy>Алябышев</cp:lastModifiedBy>
  <cp:lastPrinted>2018-10-03T09:45:31Z</cp:lastPrinted>
  <dcterms:created xsi:type="dcterms:W3CDTF">2000-02-18T06:44:28Z</dcterms:created>
  <dcterms:modified xsi:type="dcterms:W3CDTF">2018-10-09T10:52:30Z</dcterms:modified>
  <cp:category/>
  <cp:version/>
  <cp:contentType/>
  <cp:contentStatus/>
</cp:coreProperties>
</file>